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询价文件 公开挂网\2026询价文件\公开询价\工程技术部\12.大岭山数谷电动汽车充电桩\"/>
    </mc:Choice>
  </mc:AlternateContent>
  <bookViews>
    <workbookView windowWidth="28800" windowHeight="12255" tabRatio="760" firstSheet="1" activeTab="1"/>
  </bookViews>
  <sheets>
    <sheet name="区域布置统计表" sheetId="30" state="hidden" r:id="rId1"/>
    <sheet name="大岭山数智谷充电桩" sheetId="34" r:id="rId2"/>
    <sheet name="发电自用比例计算表（无峰谷计价）" sheetId="29" state="hidden" r:id="rId3"/>
    <sheet name="测算表（光伏）" sheetId="32" state="hidden" r:id="rId4"/>
  </sheets>
  <definedNames>
    <definedName name="_xlnm.Print_Area" localSheetId="2">'发电自用比例计算表（无峰谷计价）'!$A$1:$G$19</definedName>
    <definedName name="_xlnm.Print_Area" localSheetId="0">区域布置统计表!$B$2:$L$33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yanhua</author>
    <author>XFGF</author>
    <author>abc</author>
  </authors>
  <commentList>
    <comment ref="K4" authorId="0">
      <text>
        <r>
          <rPr>
            <b/>
            <sz val="9"/>
            <rFont val="宋体"/>
            <charset val="134"/>
          </rPr>
          <t>5年期LPR</t>
        </r>
      </text>
    </comment>
    <comment ref="W8" authorId="1">
      <text>
        <r>
          <rPr>
            <sz val="9"/>
            <rFont val="宋体"/>
            <charset val="134"/>
          </rPr>
          <t xml:space="preserve">ROI=EBIT/年限/总投额
</t>
        </r>
      </text>
    </comment>
    <comment ref="Y36" authorId="2">
      <text>
        <r>
          <rPr>
            <b/>
            <sz val="9"/>
            <rFont val="宋体"/>
            <charset val="134"/>
          </rPr>
          <t xml:space="preserve">abc:
</t>
        </r>
        <r>
          <rPr>
            <sz val="9"/>
            <rFont val="宋体"/>
            <charset val="134"/>
          </rPr>
          <t>累计净现值</t>
        </r>
      </text>
    </comment>
    <comment ref="E56" authorId="2">
      <text>
        <r>
          <rPr>
            <b/>
            <sz val="9"/>
            <color rgb="FF000000"/>
            <rFont val="宋体"/>
            <charset val="134"/>
          </rPr>
          <t>abc:</t>
        </r>
        <r>
          <rPr>
            <sz val="9"/>
            <color rgb="FF000000"/>
            <rFont val="宋体"/>
            <charset val="134"/>
          </rPr>
          <t xml:space="preserve">
税前收入-运费/保险-增值、附加、企得税</t>
        </r>
      </text>
    </comment>
    <comment ref="E62" authorId="2">
      <text>
        <r>
          <rPr>
            <b/>
            <sz val="9"/>
            <rFont val="宋体"/>
            <charset val="134"/>
          </rPr>
          <t>abc:</t>
        </r>
        <r>
          <rPr>
            <sz val="9"/>
            <rFont val="宋体"/>
            <charset val="134"/>
          </rPr>
          <t xml:space="preserve">
收入-（还本还息、运维保险、增值、附加、企得税）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<sst xmlns="http://schemas.openxmlformats.org/spreadsheetml/2006/main" count="381" uniqueCount="282">
  <si>
    <t>光伏装机容量（kWp）</t>
  </si>
  <si>
    <t>屋顶安装面积(㎡)</t>
  </si>
  <si>
    <t>年租金(元/㎡)</t>
  </si>
  <si>
    <t>电价优惠折扣</t>
  </si>
  <si>
    <t>服务期(年)</t>
  </si>
  <si>
    <t>序号</t>
  </si>
  <si>
    <t>建筑名称</t>
  </si>
  <si>
    <t>安装面积
(㎡)</t>
  </si>
  <si>
    <t>635W组件数量(块)</t>
  </si>
  <si>
    <t>装机功率(kWp)</t>
  </si>
  <si>
    <t>安装方式</t>
  </si>
  <si>
    <t>年发电量
(万kWh)</t>
  </si>
  <si>
    <t>电费收益
(万元)</t>
  </si>
  <si>
    <t>租金收益
(万元)</t>
  </si>
  <si>
    <t>总收益
(万元)</t>
  </si>
  <si>
    <t>备注</t>
  </si>
  <si>
    <r>
      <rPr>
        <b/>
        <sz val="12"/>
        <color rgb="FF000000"/>
        <rFont val="宋体"/>
        <charset val="134"/>
      </rPr>
      <t>屋顶面积
(m</t>
    </r>
    <r>
      <rPr>
        <b/>
        <vertAlign val="superscript"/>
        <sz val="12"/>
        <color rgb="FF000000"/>
        <rFont val="宋体"/>
        <charset val="134"/>
      </rPr>
      <t>2</t>
    </r>
    <r>
      <rPr>
        <b/>
        <sz val="12"/>
        <color rgb="FF000000"/>
        <rFont val="宋体"/>
        <charset val="134"/>
      </rPr>
      <t>)</t>
    </r>
  </si>
  <si>
    <t>楼层</t>
  </si>
  <si>
    <r>
      <rPr>
        <b/>
        <sz val="12"/>
        <color rgb="FF000000"/>
        <rFont val="宋体"/>
        <charset val="134"/>
      </rPr>
      <t>建筑面积
(m</t>
    </r>
    <r>
      <rPr>
        <b/>
        <vertAlign val="superscript"/>
        <sz val="12"/>
        <color rgb="FF000000"/>
        <rFont val="宋体"/>
        <charset val="134"/>
      </rPr>
      <t>2</t>
    </r>
    <r>
      <rPr>
        <b/>
        <sz val="12"/>
        <color rgb="FF000000"/>
        <rFont val="宋体"/>
        <charset val="134"/>
      </rPr>
      <t>)</t>
    </r>
  </si>
  <si>
    <r>
      <rPr>
        <b/>
        <sz val="12"/>
        <color rgb="FF000000"/>
        <rFont val="宋体"/>
        <charset val="134"/>
      </rPr>
      <t>鉴定单价
(m</t>
    </r>
    <r>
      <rPr>
        <b/>
        <vertAlign val="superscript"/>
        <sz val="12"/>
        <color rgb="FF000000"/>
        <rFont val="宋体"/>
        <charset val="134"/>
      </rPr>
      <t>2</t>
    </r>
    <r>
      <rPr>
        <b/>
        <sz val="12"/>
        <color rgb="FF000000"/>
        <rFont val="宋体"/>
        <charset val="134"/>
      </rPr>
      <t>)</t>
    </r>
  </si>
  <si>
    <r>
      <rPr>
        <b/>
        <sz val="12"/>
        <color rgb="FF000000"/>
        <rFont val="宋体"/>
        <charset val="134"/>
      </rPr>
      <t>鉴定总价
(m</t>
    </r>
    <r>
      <rPr>
        <b/>
        <vertAlign val="superscript"/>
        <sz val="12"/>
        <color rgb="FF000000"/>
        <rFont val="宋体"/>
        <charset val="134"/>
      </rPr>
      <t>2</t>
    </r>
    <r>
      <rPr>
        <b/>
        <sz val="12"/>
        <color rgb="FF000000"/>
        <rFont val="宋体"/>
        <charset val="134"/>
      </rPr>
      <t>)</t>
    </r>
  </si>
  <si>
    <t>#1、#2</t>
  </si>
  <si>
    <t>/</t>
  </si>
  <si>
    <t>#3、#4</t>
  </si>
  <si>
    <t>棚架式</t>
  </si>
  <si>
    <t>工字钢</t>
  </si>
  <si>
    <t>#5、#6</t>
  </si>
  <si>
    <t>#7、#8</t>
  </si>
  <si>
    <t>#9、#10</t>
  </si>
  <si>
    <t>#11</t>
  </si>
  <si>
    <t>合计</t>
  </si>
  <si>
    <r>
      <rPr>
        <b/>
        <sz val="12"/>
        <color rgb="FF000000"/>
        <rFont val="宋体"/>
        <charset val="134"/>
      </rPr>
      <t>安装面积
(m</t>
    </r>
    <r>
      <rPr>
        <b/>
        <vertAlign val="superscript"/>
        <sz val="12"/>
        <color rgb="FF000000"/>
        <rFont val="宋体"/>
        <charset val="134"/>
      </rPr>
      <t>2</t>
    </r>
    <r>
      <rPr>
        <b/>
        <sz val="12"/>
        <color rgb="FF000000"/>
        <rFont val="宋体"/>
        <charset val="134"/>
      </rPr>
      <t>)</t>
    </r>
  </si>
  <si>
    <t>1号厂房</t>
  </si>
  <si>
    <t>平铺式</t>
  </si>
  <si>
    <t>彩钢瓦</t>
  </si>
  <si>
    <t>2号厂房</t>
  </si>
  <si>
    <t>3号厂房</t>
  </si>
  <si>
    <t>阵列式</t>
  </si>
  <si>
    <t>1号宿舍</t>
  </si>
  <si>
    <t>1号办公楼</t>
  </si>
  <si>
    <t>类型</t>
  </si>
  <si>
    <t>面积（m2）</t>
  </si>
  <si>
    <t>单价</t>
  </si>
  <si>
    <t>棚架式：建筑面积×0.9（炮楼或者阴影等）×0.9（运维通道）</t>
  </si>
  <si>
    <t>混凝土屋顶</t>
  </si>
  <si>
    <t>居民楼</t>
  </si>
  <si>
    <t>3000元/单</t>
  </si>
  <si>
    <t>阵列式：建筑面积×0.9（炮楼或者阴影等）×0.6（运维通道）</t>
  </si>
  <si>
    <t>1500以下</t>
  </si>
  <si>
    <t>4800元/单</t>
  </si>
  <si>
    <t>彩钢瓦：建筑面积×0.9（采光带或气楼等）×0.8（运维通道、围栏）</t>
  </si>
  <si>
    <t>1500-6000</t>
  </si>
  <si>
    <t>3.2元/平方米</t>
  </si>
  <si>
    <t>6000-10000</t>
  </si>
  <si>
    <t>3.0元/平方米</t>
  </si>
  <si>
    <t>10000-20000</t>
  </si>
  <si>
    <t>2.8元/平方米</t>
  </si>
  <si>
    <t>20000以上</t>
  </si>
  <si>
    <t>2.5元/平方米</t>
  </si>
  <si>
    <t>钢结构屋顶</t>
  </si>
  <si>
    <t>5.0元/平方米</t>
  </si>
  <si>
    <t>东实·大岭山数智谷充电桩项目 配套工程量清单</t>
  </si>
  <si>
    <t>项目名称</t>
  </si>
  <si>
    <t>规格</t>
  </si>
  <si>
    <t>单位</t>
  </si>
  <si>
    <t>工程量</t>
  </si>
  <si>
    <t>施工单价</t>
  </si>
  <si>
    <t>单价/元</t>
  </si>
  <si>
    <t>合价/元</t>
  </si>
  <si>
    <t>群充总控箱</t>
  </si>
  <si>
    <t>总控箱:含1台720kW一拖十分体式直流充电机</t>
  </si>
  <si>
    <t>套</t>
  </si>
  <si>
    <t>直流充电终端；4M；250A落地式；单枪；带急停；</t>
  </si>
  <si>
    <t>台</t>
  </si>
  <si>
    <t>液冷超充；600A；3M枪线；</t>
  </si>
  <si>
    <t>充电终端（交流）</t>
  </si>
  <si>
    <t>21kW 三相380V</t>
  </si>
  <si>
    <t>电源点</t>
  </si>
  <si>
    <t>根据拟安装充电桩功率适配，包括但不限于10kV外线及其电缆沟/电缆井工程、高低压配电柜设备、变压器、连接电缆采购与安装、及其箱变基础，含供电报装流程</t>
  </si>
  <si>
    <t>项</t>
  </si>
  <si>
    <t>交流电缆（变压器至交流总箱）</t>
  </si>
  <si>
    <t>YJLV-0.6/1kv-3x185-2x95</t>
  </si>
  <si>
    <t>米</t>
  </si>
  <si>
    <t>交流电缆（交流总箱至交流桩）</t>
  </si>
  <si>
    <t>YJLV-0.6/1kv-3x25-2x16</t>
  </si>
  <si>
    <t>主机输入电缆火线(720kw充电堆）</t>
  </si>
  <si>
    <t>9*（YJLV-0.6/1kv-1x400 ）</t>
  </si>
  <si>
    <t>主机输入电缆零、地线(720kw充电堆）</t>
  </si>
  <si>
    <t>4*（YJLV-0.6/1kv-1x300 ）</t>
  </si>
  <si>
    <t>主机输出电缆（250A）</t>
  </si>
  <si>
    <t>DC-YJLV-0.6/1kv-2*240</t>
  </si>
  <si>
    <t>主机输出电缆（600A）</t>
  </si>
  <si>
    <t>2*DC-YJLV-0.6/1kv-2*400</t>
  </si>
  <si>
    <t>土建</t>
  </si>
  <si>
    <t>电缆沟开挖、敷设、路面恢复、地排接地</t>
  </si>
  <si>
    <t>计量箱</t>
  </si>
  <si>
    <t>新增1250A开关及配套</t>
  </si>
  <si>
    <t>慢充配电箱</t>
  </si>
  <si>
    <t>总4P 400A 塑壳断路器代漏电、浪涌、相位、接地保护）、10个2P C40A 30mA 漏电保护断路器</t>
  </si>
  <si>
    <t>充电桩基础（快充）</t>
  </si>
  <si>
    <t>720KW总控箱</t>
  </si>
  <si>
    <t>充电终端</t>
  </si>
  <si>
    <t>充电桩基础（慢充）</t>
  </si>
  <si>
    <t>慢充充电桩基础</t>
  </si>
  <si>
    <t>安装人工</t>
  </si>
  <si>
    <t>总控箱</t>
  </si>
  <si>
    <t>直流充电桩</t>
  </si>
  <si>
    <t>交流桩</t>
  </si>
  <si>
    <t>调试</t>
  </si>
  <si>
    <t>系统通电、绝缘测试、平台调试</t>
  </si>
  <si>
    <t>安全措施费</t>
  </si>
  <si>
    <t>高清摄像头</t>
  </si>
  <si>
    <t>满足设计及施工规范的其他要求</t>
  </si>
  <si>
    <t>个</t>
  </si>
  <si>
    <t>通讯网线</t>
  </si>
  <si>
    <t>超6类网线</t>
  </si>
  <si>
    <t>合计：</t>
  </si>
  <si>
    <t>含9%增值税专用发票</t>
  </si>
  <si>
    <t>含税总价大写：</t>
  </si>
  <si>
    <t>光伏装机容量（kW）</t>
  </si>
  <si>
    <t>白天有功段(9h)</t>
  </si>
  <si>
    <t>08:00-19:00</t>
  </si>
  <si>
    <t>11小时</t>
  </si>
  <si>
    <t>光伏发的电只在白天有功段消纳</t>
  </si>
  <si>
    <t>平均峰值日照时数（h）</t>
  </si>
  <si>
    <t>发电段(6h)</t>
  </si>
  <si>
    <t>09:00-15:00</t>
  </si>
  <si>
    <t>6小时</t>
  </si>
  <si>
    <t>电力公司营销部收集某天的电力负荷曲线，避免企业晚上用电量占比过大，影响光伏自用比例</t>
  </si>
  <si>
    <t>光伏系统综合效率</t>
  </si>
  <si>
    <t>有功段发电比</t>
  </si>
  <si>
    <t>计量点1：XX有限公司</t>
  </si>
  <si>
    <t>计量点2：XX有限公司</t>
  </si>
  <si>
    <t>计量点3：XX有限公司</t>
  </si>
  <si>
    <t>计量点4：XX有限公司</t>
  </si>
  <si>
    <t>计量点5：XX有限公司</t>
  </si>
  <si>
    <t>月份</t>
  </si>
  <si>
    <t>峰值日照时数（h）</t>
  </si>
  <si>
    <t>月天数</t>
  </si>
  <si>
    <t>平均月发电量（kWh）</t>
  </si>
  <si>
    <t>月电费有功段
用电量（kWh）</t>
  </si>
  <si>
    <t>月电费有功段
消纳量（kWh）</t>
  </si>
  <si>
    <t>每月平均
自用比例</t>
  </si>
  <si>
    <t>月电费单
有功段
用电量</t>
  </si>
  <si>
    <t>月平均</t>
  </si>
  <si>
    <t>每年发电
自用比例</t>
  </si>
  <si>
    <t>年总计</t>
  </si>
  <si>
    <t>商业用电的时间段，进一步细化有功段发电比</t>
  </si>
  <si>
    <t>办公楼、学校、市场</t>
  </si>
  <si>
    <t>有功段08:00-19:00，11小时</t>
  </si>
  <si>
    <t>主要耗能设备是使用时间段</t>
  </si>
  <si>
    <t>商场、酒楼</t>
  </si>
  <si>
    <t>有功段08:00-23:00，15小时</t>
  </si>
  <si>
    <t>年发电量（kWh）=装机容量*年峰值日照小时数*365*光伏电站综合效率</t>
  </si>
  <si>
    <t>未来用电情况</t>
  </si>
  <si>
    <t>医院</t>
  </si>
  <si>
    <t>有功段08:00-8:00，24小时</t>
  </si>
  <si>
    <t>学校寒假1月份、暑假7月份一半、8月份不用电或用电少</t>
  </si>
  <si>
    <t>年峰值日照小时数即全国各地区的年平均日照时间（广东各市峰值日找时数见附图）</t>
  </si>
  <si>
    <t>光伏电站综合效率即系统损耗（如逆变器损耗、线损、灰尘遮挡等），取值在75%-85%之间</t>
  </si>
  <si>
    <t>光伏电站的方阵固定朝向为南，东莞市及广州市的最佳倾斜角度为17-22度</t>
  </si>
  <si>
    <t>综合效率系数K是考虑了各种因素影响后的修正系数，其中包括：</t>
  </si>
  <si>
    <t>1）光伏组件类型修正系数；</t>
  </si>
  <si>
    <t>2）光伏方阵的倾角、方位角修正系数；</t>
  </si>
  <si>
    <t>3）光伏发电系统可用率；</t>
  </si>
  <si>
    <t>4）光照利用率；</t>
  </si>
  <si>
    <t>5）逆变器效率；</t>
  </si>
  <si>
    <t>6）集电线路、升压变压器损耗；</t>
  </si>
  <si>
    <t>7）光伏组件表面污染修正系数；</t>
  </si>
  <si>
    <t>8）光伏组件转换效率修正系数。</t>
  </si>
  <si>
    <t>装机容量（kWp）</t>
  </si>
  <si>
    <t>投资金额（万元）</t>
  </si>
  <si>
    <t>资产税后价
（万元）</t>
  </si>
  <si>
    <t>进项税
（万元）</t>
  </si>
  <si>
    <t>项目投资
内部收益率IRR</t>
  </si>
  <si>
    <t>资本金
内部收益率IRR</t>
  </si>
  <si>
    <t>度电成本</t>
  </si>
  <si>
    <t>投资单价（元/W）</t>
  </si>
  <si>
    <t>运行天数</t>
  </si>
  <si>
    <t>折旧/年</t>
  </si>
  <si>
    <t>销项税
（万元）</t>
  </si>
  <si>
    <t>投资回收期（静态）</t>
  </si>
  <si>
    <t>利息备付率</t>
  </si>
  <si>
    <t>利息备付率=息税前利润/当期应付利息100%</t>
  </si>
  <si>
    <t>峰值日照小时数（h）</t>
  </si>
  <si>
    <t>贷款利率</t>
  </si>
  <si>
    <t>逆变器
（再投资）（万元）</t>
  </si>
  <si>
    <t>投资回收期（动态）</t>
  </si>
  <si>
    <t>偿债备付率</t>
  </si>
  <si>
    <t>1-12年上网机制电价（元/度）</t>
  </si>
  <si>
    <t>用户峰平平均电价（元/度）</t>
  </si>
  <si>
    <t>合同期限/年</t>
  </si>
  <si>
    <t>逆变器
（不含税）（万元）</t>
  </si>
  <si>
    <t>NPV</t>
  </si>
  <si>
    <r>
      <rPr>
        <b/>
        <sz val="10"/>
        <color rgb="FF333333"/>
        <rFont val="宋体"/>
        <charset val="134"/>
      </rPr>
      <t>偿债备付率偿债备付率</t>
    </r>
    <r>
      <rPr>
        <b/>
        <sz val="10"/>
        <color rgb="FF333333"/>
        <rFont val="Arial"/>
        <charset val="134"/>
      </rPr>
      <t>=</t>
    </r>
    <r>
      <rPr>
        <b/>
        <sz val="10"/>
        <color rgb="FF333333"/>
        <rFont val="宋体"/>
        <charset val="134"/>
      </rPr>
      <t>最大还款能力（净利润</t>
    </r>
    <r>
      <rPr>
        <b/>
        <sz val="10"/>
        <color rgb="FF333333"/>
        <rFont val="Arial"/>
        <charset val="134"/>
      </rPr>
      <t>+</t>
    </r>
    <r>
      <rPr>
        <b/>
        <sz val="10"/>
        <color rgb="FF333333"/>
        <rFont val="宋体"/>
        <charset val="134"/>
      </rPr>
      <t>折旧</t>
    </r>
    <r>
      <rPr>
        <b/>
        <sz val="10"/>
        <color rgb="FF333333"/>
        <rFont val="Arial"/>
        <charset val="134"/>
      </rPr>
      <t>+</t>
    </r>
    <r>
      <rPr>
        <b/>
        <sz val="10"/>
        <color rgb="FF333333"/>
        <rFont val="宋体"/>
        <charset val="134"/>
      </rPr>
      <t>摊销</t>
    </r>
    <r>
      <rPr>
        <b/>
        <sz val="10"/>
        <color rgb="FF333333"/>
        <rFont val="Arial"/>
        <charset val="134"/>
      </rPr>
      <t>+</t>
    </r>
    <r>
      <rPr>
        <b/>
        <sz val="10"/>
        <color rgb="FF333333"/>
        <rFont val="宋体"/>
        <charset val="134"/>
      </rPr>
      <t>利息）</t>
    </r>
    <r>
      <rPr>
        <b/>
        <sz val="10"/>
        <color rgb="FF333333"/>
        <rFont val="Arial"/>
        <charset val="134"/>
      </rPr>
      <t>/</t>
    </r>
    <r>
      <rPr>
        <b/>
        <sz val="10"/>
        <color rgb="FF333333"/>
        <rFont val="宋体"/>
        <charset val="134"/>
      </rPr>
      <t>应还本付息额（应还本金＋计入总成本费用的全部利息）</t>
    </r>
  </si>
  <si>
    <t>第一年衰减率</t>
  </si>
  <si>
    <t>发电自用比例</t>
  </si>
  <si>
    <t>最低投资回报率</t>
  </si>
  <si>
    <t>增值税税率</t>
  </si>
  <si>
    <t>附加税
（万元）</t>
  </si>
  <si>
    <t>第二年衰减率</t>
  </si>
  <si>
    <t>机制电量比例</t>
  </si>
  <si>
    <t>机制电价</t>
  </si>
  <si>
    <t>市场交易均价</t>
  </si>
  <si>
    <t>市场交易价格</t>
  </si>
  <si>
    <t>年份</t>
  </si>
  <si>
    <t>容量保持率</t>
  </si>
  <si>
    <t>年发电量
（万度）</t>
  </si>
  <si>
    <t>上网收益(万元)</t>
  </si>
  <si>
    <t>折后电费收益(万元)</t>
  </si>
  <si>
    <t>年度收益
(万元)</t>
  </si>
  <si>
    <t>收入(万元)</t>
  </si>
  <si>
    <t>增值税-
销项税
(万元)</t>
  </si>
  <si>
    <t>附加税
(万元)</t>
  </si>
  <si>
    <t>折旧
(万元)</t>
  </si>
  <si>
    <t>租金
(万元)</t>
  </si>
  <si>
    <t>运维费
(万元)</t>
  </si>
  <si>
    <t>逆变器
更换折旧
(万元)</t>
  </si>
  <si>
    <t>利息
(万元)</t>
  </si>
  <si>
    <t>营业利润
(万元)</t>
  </si>
  <si>
    <t>企业所得税
(万元)</t>
  </si>
  <si>
    <t>净利润
(万元)</t>
  </si>
  <si>
    <t>总投资收益率ROI</t>
  </si>
  <si>
    <t>上网电量X市场交易价格（每小时浮动价格）</t>
  </si>
  <si>
    <t>上网电量X 80% X（机制电价-市场交易均价）</t>
  </si>
  <si>
    <t>上网收益</t>
  </si>
  <si>
    <t>电价折扣</t>
  </si>
  <si>
    <t>电费收益</t>
  </si>
  <si>
    <t>不含税(万元)</t>
  </si>
  <si>
    <t>第1年</t>
  </si>
  <si>
    <t>第2年</t>
  </si>
  <si>
    <t>第3年</t>
  </si>
  <si>
    <t>第4年</t>
  </si>
  <si>
    <t>第5年</t>
  </si>
  <si>
    <t>第6年</t>
  </si>
  <si>
    <t>第7年</t>
  </si>
  <si>
    <t>第8年</t>
  </si>
  <si>
    <t>第9年</t>
  </si>
  <si>
    <t>第10年</t>
  </si>
  <si>
    <t>第11年</t>
  </si>
  <si>
    <t>第12年</t>
  </si>
  <si>
    <t>第13年</t>
  </si>
  <si>
    <t>第14年</t>
  </si>
  <si>
    <t>第15年</t>
  </si>
  <si>
    <t>第16年</t>
  </si>
  <si>
    <t>第17年</t>
  </si>
  <si>
    <t>第18年</t>
  </si>
  <si>
    <t>第19年</t>
  </si>
  <si>
    <t>第20年</t>
  </si>
  <si>
    <t>第21年</t>
  </si>
  <si>
    <t>第22年</t>
  </si>
  <si>
    <t>第23年</t>
  </si>
  <si>
    <t>第24年</t>
  </si>
  <si>
    <t>第25年</t>
  </si>
  <si>
    <t>年平均</t>
  </si>
  <si>
    <t>项目现金流量</t>
  </si>
  <si>
    <t>项目</t>
  </si>
  <si>
    <t>建设期</t>
  </si>
  <si>
    <t>现金流入+</t>
  </si>
  <si>
    <t>年收入&amp;含税</t>
  </si>
  <si>
    <t>资本金</t>
  </si>
  <si>
    <t>银行借款</t>
  </si>
  <si>
    <t>现金流出-</t>
  </si>
  <si>
    <t>固定资产投资</t>
  </si>
  <si>
    <t>偿还本金</t>
  </si>
  <si>
    <t>冲平为零</t>
  </si>
  <si>
    <t>剩余本金</t>
  </si>
  <si>
    <t>利息</t>
  </si>
  <si>
    <t>经营成本</t>
  </si>
  <si>
    <t>销项锐</t>
  </si>
  <si>
    <t>进项税</t>
  </si>
  <si>
    <t>应交增值税</t>
  </si>
  <si>
    <t>附加税</t>
  </si>
  <si>
    <t>所得税</t>
  </si>
  <si>
    <t>净现金流</t>
  </si>
  <si>
    <t>项目投资</t>
  </si>
  <si>
    <t>累计净现金流</t>
  </si>
  <si>
    <t>折现率</t>
  </si>
  <si>
    <t>折现系数</t>
  </si>
  <si>
    <t>现金流现值</t>
  </si>
  <si>
    <t>累计净现金流现值</t>
  </si>
  <si>
    <t>资本金投资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</si>
</sst>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#,##0.00_ "/>
    <numFmt numFmtId="178" formatCode="0.00_ "/>
    <numFmt numFmtId="179" formatCode="0.0000_ "/>
    <numFmt numFmtId="180" formatCode="#,##0.0000_ "/>
    <numFmt numFmtId="181" formatCode="_ * #,##0.0000_ ;_ * \-#,##0.0000_ ;_ * &quot;-&quot;????_ ;_ @_ "/>
    <numFmt numFmtId="182" formatCode="General&quot;年总计&quot;"/>
    <numFmt numFmtId="183" formatCode="0.00_ ;[Red]\-0.00\ "/>
    <numFmt numFmtId="184" formatCode="#,##0.00_ ;[Red]\-#,##0.00\ "/>
    <numFmt numFmtId="185" formatCode="_ * #,##0.000_ ;_ * \-#,##0.000_ ;_ * &quot;-&quot;???_ ;_ @_ "/>
    <numFmt numFmtId="186" formatCode="#\ ?/?"/>
    <numFmt numFmtId="187" formatCode="#\ ??/??"/>
    <numFmt numFmtId="188" formatCode="0_ "/>
    <numFmt numFmtId="189" formatCode="0_);[Red]\(0\)"/>
    <numFmt numFmtId="190" formatCode="General&quot;折&quot;"/>
  </numFmts>
  <fonts count="65">
    <font>
      <sz val="12"/>
      <name val="宋体"/>
      <charset val="134"/>
    </font>
    <font>
      <sz val="10"/>
      <name val="宋体"/>
      <charset val="134"/>
    </font>
    <font>
      <b/>
      <sz val="2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0"/>
      <color rgb="FF333333"/>
      <name val="宋体"/>
      <charset val="134"/>
    </font>
    <font>
      <strike/>
      <sz val="11"/>
      <color theme="1"/>
      <name val="宋体"/>
      <charset val="134"/>
    </font>
    <font>
      <b/>
      <strike/>
      <sz val="11"/>
      <color theme="1"/>
      <name val="宋体"/>
      <charset val="134"/>
    </font>
    <font>
      <b/>
      <sz val="10"/>
      <color theme="1"/>
      <name val="宋体"/>
      <charset val="134"/>
    </font>
    <font>
      <b/>
      <sz val="11"/>
      <color theme="1"/>
      <name val="宋体"/>
      <charset val="134"/>
    </font>
    <font>
      <strike/>
      <sz val="10"/>
      <color theme="1"/>
      <name val="宋体"/>
      <charset val="134"/>
    </font>
    <font>
      <b/>
      <strike/>
      <sz val="10"/>
      <color theme="1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rgb="FF0070C0"/>
      <name val="宋体"/>
      <charset val="134"/>
    </font>
    <font>
      <b/>
      <sz val="9"/>
      <name val="宋体"/>
      <charset val="134"/>
    </font>
    <font>
      <sz val="10"/>
      <color rgb="FFFF0000"/>
      <name val="宋体"/>
      <charset val="134"/>
    </font>
    <font>
      <sz val="9"/>
      <color rgb="FFFF0000"/>
      <name val="宋体"/>
      <charset val="134"/>
    </font>
    <font>
      <sz val="9"/>
      <color indexed="8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sz val="8"/>
      <color theme="1"/>
      <name val="微软雅黑"/>
      <charset val="134"/>
    </font>
    <font>
      <b/>
      <sz val="14"/>
      <color theme="1"/>
      <name val="微软雅黑"/>
      <charset val="134"/>
    </font>
    <font>
      <b/>
      <sz val="8"/>
      <color rgb="FF000000"/>
      <name val="微软雅黑"/>
      <charset val="134"/>
    </font>
    <font>
      <b/>
      <sz val="8"/>
      <name val="微软雅黑"/>
      <charset val="134"/>
    </font>
    <font>
      <sz val="8"/>
      <color rgb="FF000000"/>
      <name val="微软雅黑"/>
      <charset val="134"/>
    </font>
    <font>
      <sz val="8"/>
      <name val="微软雅黑"/>
      <charset val="134"/>
    </font>
    <font>
      <sz val="11"/>
      <name val="宋体"/>
      <charset val="134"/>
      <scheme val="minor"/>
    </font>
    <font>
      <sz val="14"/>
      <name val="宋体"/>
      <charset val="134"/>
    </font>
    <font>
      <b/>
      <sz val="12"/>
      <color rgb="FF000000"/>
      <name val="宋体"/>
      <charset val="134"/>
    </font>
    <font>
      <sz val="12"/>
      <color rgb="FFFF0000"/>
      <name val="宋体"/>
      <charset val="134"/>
    </font>
    <font>
      <b/>
      <sz val="12"/>
      <color rgb="FFFF0000"/>
      <name val="宋体"/>
      <charset val="134"/>
    </font>
    <font>
      <sz val="12"/>
      <color rgb="FF000000"/>
      <name val="宋体"/>
      <charset val="134"/>
    </font>
    <font>
      <b/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b/>
      <sz val="10"/>
      <color rgb="FF333333"/>
      <name val="Arial"/>
      <charset val="134"/>
    </font>
    <font>
      <b/>
      <vertAlign val="superscript"/>
      <sz val="12"/>
      <color rgb="FF000000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1">
    <border>
      <left/>
      <right/>
      <top/>
      <bottom/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 style="thin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 diagonalDown="1">
      <left style="thin">
        <color auto="1"/>
      </left>
      <right/>
      <top/>
      <bottom/>
      <diagonal style="thin">
        <color auto="1"/>
      </diagonal>
    </border>
    <border diagonalDown="1">
      <left/>
      <right style="thin">
        <color auto="1"/>
      </right>
      <top/>
      <bottom/>
      <diagonal style="thin">
        <color auto="1"/>
      </diagonal>
    </border>
    <border diagonalDown="1">
      <left style="thin">
        <color auto="1"/>
      </left>
      <right/>
      <top/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/>
      <bottom style="thin">
        <color auto="1"/>
      </bottom>
      <diagonal style="thin">
        <color auto="1"/>
      </diagonal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1F2329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/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auto="1"/>
      </bottom>
      <diagonal/>
    </border>
    <border>
      <left style="thin">
        <color rgb="FF1F2329"/>
      </left>
      <right style="thin">
        <color rgb="FF1F2329"/>
      </right>
      <top/>
      <bottom/>
      <diagonal/>
    </border>
    <border>
      <left style="thin">
        <color rgb="FF1F2329"/>
      </left>
      <right style="thin">
        <color rgb="FF1F2329"/>
      </right>
      <top style="thin">
        <color auto="1"/>
      </top>
      <bottom style="thin">
        <color auto="1"/>
      </bottom>
      <diagonal/>
    </border>
    <border>
      <left style="thin">
        <color rgb="FF1F2329"/>
      </left>
      <right style="thin">
        <color rgb="FF1F2329"/>
      </right>
      <top/>
      <bottom style="thin">
        <color rgb="FF1F2329"/>
      </bottom>
      <diagonal/>
    </border>
    <border>
      <left style="thin">
        <color rgb="FF1F2329"/>
      </left>
      <right style="thin">
        <color rgb="FF1F2329"/>
      </right>
      <top style="thin">
        <color auto="1"/>
      </top>
      <bottom style="thin">
        <color rgb="FF1F2329"/>
      </bottom>
      <diagonal/>
    </border>
    <border>
      <left/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1F2329"/>
      </left>
      <right/>
      <top style="thin">
        <color rgb="FF1F2329"/>
      </top>
      <bottom/>
      <diagonal/>
    </border>
    <border>
      <left/>
      <right/>
      <top style="thin">
        <color rgb="FF1F2329"/>
      </top>
      <bottom/>
      <diagonal/>
    </border>
    <border>
      <left/>
      <right style="thin">
        <color rgb="FF1F2329"/>
      </right>
      <top style="thin">
        <color rgb="FF1F2329"/>
      </top>
      <bottom/>
      <diagonal/>
    </border>
    <border>
      <left style="thin">
        <color rgb="FF1F2329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25" fillId="0" borderId="0" applyFont="0" applyFill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5" fillId="5" borderId="43" applyNumberFormat="0" applyFon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44" applyNumberFormat="0" applyFill="0" applyAlignment="0" applyProtection="0">
      <alignment vertical="center"/>
    </xf>
    <xf numFmtId="0" fontId="45" fillId="0" borderId="44" applyNumberFormat="0" applyFill="0" applyAlignment="0" applyProtection="0">
      <alignment vertical="center"/>
    </xf>
    <xf numFmtId="0" fontId="46" fillId="0" borderId="45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6" borderId="46" applyNumberFormat="0" applyAlignment="0" applyProtection="0">
      <alignment vertical="center"/>
    </xf>
    <xf numFmtId="0" fontId="48" fillId="7" borderId="47" applyNumberFormat="0" applyAlignment="0" applyProtection="0">
      <alignment vertical="center"/>
    </xf>
    <xf numFmtId="0" fontId="49" fillId="7" borderId="46" applyNumberFormat="0" applyAlignment="0" applyProtection="0">
      <alignment vertical="center"/>
    </xf>
    <xf numFmtId="0" fontId="50" fillId="8" borderId="48" applyNumberFormat="0" applyAlignment="0" applyProtection="0">
      <alignment vertical="center"/>
    </xf>
    <xf numFmtId="0" fontId="51" fillId="0" borderId="49" applyNumberFormat="0" applyFill="0" applyAlignment="0" applyProtection="0">
      <alignment vertical="center"/>
    </xf>
    <xf numFmtId="0" fontId="52" fillId="0" borderId="50" applyNumberFormat="0" applyFill="0" applyAlignment="0" applyProtection="0">
      <alignment vertical="center"/>
    </xf>
    <xf numFmtId="0" fontId="53" fillId="9" borderId="0" applyNumberFormat="0" applyBorder="0" applyAlignment="0" applyProtection="0">
      <alignment vertical="center"/>
    </xf>
    <xf numFmtId="0" fontId="54" fillId="10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56" fillId="12" borderId="0" applyNumberFormat="0" applyBorder="0" applyAlignment="0" applyProtection="0">
      <alignment vertical="center"/>
    </xf>
    <xf numFmtId="0" fontId="57" fillId="13" borderId="0" applyNumberFormat="0" applyBorder="0" applyAlignment="0" applyProtection="0">
      <alignment vertical="center"/>
    </xf>
    <xf numFmtId="0" fontId="57" fillId="14" borderId="0" applyNumberFormat="0" applyBorder="0" applyAlignment="0" applyProtection="0">
      <alignment vertical="center"/>
    </xf>
    <xf numFmtId="0" fontId="56" fillId="15" borderId="0" applyNumberFormat="0" applyBorder="0" applyAlignment="0" applyProtection="0">
      <alignment vertical="center"/>
    </xf>
    <xf numFmtId="0" fontId="56" fillId="16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57" fillId="18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57" fillId="21" borderId="0" applyNumberFormat="0" applyBorder="0" applyAlignment="0" applyProtection="0">
      <alignment vertical="center"/>
    </xf>
    <xf numFmtId="0" fontId="57" fillId="22" borderId="0" applyNumberFormat="0" applyBorder="0" applyAlignment="0" applyProtection="0">
      <alignment vertical="center"/>
    </xf>
    <xf numFmtId="0" fontId="56" fillId="23" borderId="0" applyNumberFormat="0" applyBorder="0" applyAlignment="0" applyProtection="0">
      <alignment vertical="center"/>
    </xf>
    <xf numFmtId="0" fontId="56" fillId="24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57" fillId="26" borderId="0" applyNumberFormat="0" applyBorder="0" applyAlignment="0" applyProtection="0">
      <alignment vertical="center"/>
    </xf>
    <xf numFmtId="0" fontId="56" fillId="27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57" fillId="30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7" fillId="33" borderId="0" applyNumberFormat="0" applyBorder="0" applyAlignment="0" applyProtection="0">
      <alignment vertical="center"/>
    </xf>
    <xf numFmtId="0" fontId="57" fillId="34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58" fillId="0" borderId="0">
      <alignment vertical="center"/>
    </xf>
  </cellStyleXfs>
  <cellXfs count="289">
    <xf numFmtId="0" fontId="0" fillId="0" borderId="0" xfId="0"/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0" fontId="0" fillId="0" borderId="0" xfId="0" applyFont="1" applyFill="1" applyAlignment="1"/>
    <xf numFmtId="0" fontId="0" fillId="0" borderId="0" xfId="0" applyFont="1" applyFill="1" applyAlignment="1">
      <alignment wrapText="1"/>
    </xf>
    <xf numFmtId="0" fontId="0" fillId="0" borderId="0" xfId="0" applyFont="1" applyFill="1" applyBorder="1" applyAlignment="1"/>
    <xf numFmtId="176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0" fillId="3" borderId="1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40" fontId="4" fillId="0" borderId="6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177" fontId="4" fillId="0" borderId="6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76" fontId="3" fillId="3" borderId="6" xfId="0" applyNumberFormat="1" applyFont="1" applyFill="1" applyBorder="1" applyAlignment="1">
      <alignment horizontal="center" vertical="center" wrapText="1"/>
    </xf>
    <xf numFmtId="176" fontId="3" fillId="3" borderId="6" xfId="0" applyNumberFormat="1" applyFont="1" applyFill="1" applyBorder="1" applyAlignment="1">
      <alignment horizontal="center" vertical="center"/>
    </xf>
    <xf numFmtId="10" fontId="4" fillId="0" borderId="6" xfId="0" applyNumberFormat="1" applyFont="1" applyFill="1" applyBorder="1" applyAlignment="1">
      <alignment horizontal="center" vertical="center"/>
    </xf>
    <xf numFmtId="176" fontId="3" fillId="0" borderId="6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/>
    </xf>
    <xf numFmtId="176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  <protection locked="0"/>
    </xf>
    <xf numFmtId="177" fontId="3" fillId="3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43" fontId="4" fillId="0" borderId="6" xfId="0" applyNumberFormat="1" applyFont="1" applyFill="1" applyBorder="1" applyAlignment="1">
      <alignment horizontal="center" vertical="center"/>
    </xf>
    <xf numFmtId="178" fontId="3" fillId="0" borderId="6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10" fontId="4" fillId="0" borderId="6" xfId="3" applyNumberFormat="1" applyFont="1" applyFill="1" applyBorder="1" applyAlignment="1" applyProtection="1">
      <alignment horizontal="center" vertical="center"/>
      <protection locked="0"/>
    </xf>
    <xf numFmtId="43" fontId="3" fillId="3" borderId="6" xfId="0" applyNumberFormat="1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/>
    </xf>
    <xf numFmtId="178" fontId="4" fillId="0" borderId="6" xfId="0" applyNumberFormat="1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77" fontId="8" fillId="0" borderId="0" xfId="0" applyNumberFormat="1" applyFont="1" applyFill="1" applyBorder="1" applyAlignment="1">
      <alignment horizontal="center" vertical="center"/>
    </xf>
    <xf numFmtId="178" fontId="0" fillId="0" borderId="0" xfId="0" applyNumberFormat="1" applyFont="1" applyFill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10" fontId="3" fillId="0" borderId="6" xfId="0" applyNumberFormat="1" applyFont="1" applyFill="1" applyBorder="1" applyAlignment="1">
      <alignment horizontal="center" vertical="center"/>
    </xf>
    <xf numFmtId="9" fontId="4" fillId="0" borderId="6" xfId="0" applyNumberFormat="1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9" fontId="10" fillId="0" borderId="0" xfId="0" applyNumberFormat="1" applyFont="1" applyFill="1" applyBorder="1" applyAlignment="1">
      <alignment horizontal="center" vertical="center"/>
    </xf>
    <xf numFmtId="9" fontId="3" fillId="0" borderId="6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3" fillId="3" borderId="13" xfId="0" applyFont="1" applyFill="1" applyBorder="1" applyAlignment="1">
      <alignment horizontal="center" vertical="center"/>
    </xf>
    <xf numFmtId="10" fontId="3" fillId="3" borderId="14" xfId="0" applyNumberFormat="1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77" fontId="1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8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10" fontId="3" fillId="3" borderId="16" xfId="0" applyNumberFormat="1" applyFont="1" applyFill="1" applyBorder="1" applyAlignment="1">
      <alignment horizontal="center" vertical="center"/>
    </xf>
    <xf numFmtId="9" fontId="9" fillId="0" borderId="0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 applyProtection="1">
      <alignment horizontal="center"/>
    </xf>
    <xf numFmtId="10" fontId="1" fillId="0" borderId="3" xfId="0" applyNumberFormat="1" applyFont="1" applyFill="1" applyBorder="1" applyAlignment="1" applyProtection="1">
      <alignment horizontal="center"/>
    </xf>
    <xf numFmtId="179" fontId="1" fillId="0" borderId="6" xfId="0" applyNumberFormat="1" applyFont="1" applyFill="1" applyBorder="1" applyAlignment="1" applyProtection="1">
      <alignment horizontal="center"/>
    </xf>
    <xf numFmtId="9" fontId="1" fillId="0" borderId="6" xfId="3" applyNumberFormat="1" applyFont="1" applyFill="1" applyBorder="1" applyAlignment="1" applyProtection="1">
      <alignment horizontal="center"/>
    </xf>
    <xf numFmtId="180" fontId="1" fillId="0" borderId="6" xfId="0" applyNumberFormat="1" applyFont="1" applyFill="1" applyBorder="1" applyAlignment="1" applyProtection="1">
      <alignment horizontal="center"/>
    </xf>
    <xf numFmtId="180" fontId="1" fillId="0" borderId="3" xfId="0" applyNumberFormat="1" applyFont="1" applyFill="1" applyBorder="1" applyAlignment="1" applyProtection="1">
      <alignment horizontal="center"/>
    </xf>
    <xf numFmtId="180" fontId="1" fillId="0" borderId="5" xfId="0" applyNumberFormat="1" applyFont="1" applyFill="1" applyBorder="1" applyAlignment="1" applyProtection="1">
      <alignment horizontal="center"/>
    </xf>
    <xf numFmtId="181" fontId="1" fillId="0" borderId="6" xfId="0" applyNumberFormat="1" applyFont="1" applyFill="1" applyBorder="1" applyAlignment="1" applyProtection="1"/>
    <xf numFmtId="179" fontId="13" fillId="0" borderId="6" xfId="0" applyNumberFormat="1" applyFont="1" applyFill="1" applyBorder="1" applyAlignment="1" applyProtection="1">
      <alignment horizontal="center"/>
    </xf>
    <xf numFmtId="180" fontId="13" fillId="0" borderId="6" xfId="0" applyNumberFormat="1" applyFont="1" applyFill="1" applyBorder="1" applyAlignment="1" applyProtection="1">
      <alignment horizontal="center"/>
    </xf>
    <xf numFmtId="177" fontId="13" fillId="0" borderId="6" xfId="0" applyNumberFormat="1" applyFont="1" applyFill="1" applyBorder="1" applyAlignment="1" applyProtection="1">
      <alignment horizontal="center"/>
    </xf>
    <xf numFmtId="10" fontId="9" fillId="0" borderId="13" xfId="0" applyNumberFormat="1" applyFont="1" applyFill="1" applyBorder="1" applyAlignment="1" applyProtection="1">
      <alignment horizontal="center" vertical="center"/>
    </xf>
    <xf numFmtId="178" fontId="0" fillId="0" borderId="0" xfId="0" applyNumberFormat="1" applyFont="1" applyFill="1" applyBorder="1" applyAlignment="1">
      <alignment horizontal="center" vertical="center"/>
    </xf>
    <xf numFmtId="10" fontId="9" fillId="0" borderId="17" xfId="0" applyNumberFormat="1" applyFont="1" applyFill="1" applyBorder="1" applyAlignment="1" applyProtection="1">
      <alignment horizontal="center" vertical="center"/>
    </xf>
    <xf numFmtId="177" fontId="1" fillId="0" borderId="0" xfId="0" applyNumberFormat="1" applyFont="1" applyFill="1" applyAlignment="1"/>
    <xf numFmtId="176" fontId="1" fillId="0" borderId="6" xfId="0" applyNumberFormat="1" applyFont="1" applyFill="1" applyBorder="1" applyAlignment="1" applyProtection="1">
      <alignment horizontal="center"/>
    </xf>
    <xf numFmtId="180" fontId="1" fillId="0" borderId="6" xfId="0" applyNumberFormat="1" applyFont="1" applyFill="1" applyBorder="1" applyAlignment="1" applyProtection="1"/>
    <xf numFmtId="0" fontId="0" fillId="3" borderId="6" xfId="0" applyFont="1" applyFill="1" applyBorder="1" applyAlignment="1" applyProtection="1">
      <alignment horizontal="center"/>
    </xf>
    <xf numFmtId="179" fontId="1" fillId="0" borderId="13" xfId="0" applyNumberFormat="1" applyFont="1" applyFill="1" applyBorder="1" applyAlignment="1" applyProtection="1">
      <alignment horizontal="center"/>
    </xf>
    <xf numFmtId="0" fontId="0" fillId="0" borderId="6" xfId="0" applyFont="1" applyFill="1" applyBorder="1" applyAlignment="1">
      <alignment horizontal="center" vertical="center"/>
    </xf>
    <xf numFmtId="182" fontId="5" fillId="3" borderId="6" xfId="0" applyNumberFormat="1" applyFont="1" applyFill="1" applyBorder="1" applyAlignment="1" applyProtection="1">
      <alignment horizontal="center"/>
    </xf>
    <xf numFmtId="180" fontId="3" fillId="0" borderId="6" xfId="0" applyNumberFormat="1" applyFont="1" applyFill="1" applyBorder="1" applyAlignment="1" applyProtection="1">
      <alignment horizontal="center"/>
    </xf>
    <xf numFmtId="179" fontId="1" fillId="0" borderId="15" xfId="0" applyNumberFormat="1" applyFont="1" applyFill="1" applyBorder="1" applyAlignment="1" applyProtection="1">
      <alignment horizontal="center"/>
    </xf>
    <xf numFmtId="177" fontId="3" fillId="0" borderId="6" xfId="0" applyNumberFormat="1" applyFont="1" applyFill="1" applyBorder="1" applyAlignment="1" applyProtection="1">
      <alignment horizontal="center"/>
    </xf>
    <xf numFmtId="179" fontId="9" fillId="0" borderId="6" xfId="0" applyNumberFormat="1" applyFont="1" applyFill="1" applyBorder="1" applyAlignment="1" applyProtection="1">
      <alignment horizontal="center"/>
    </xf>
    <xf numFmtId="0" fontId="0" fillId="0" borderId="0" xfId="0" applyFont="1" applyFill="1" applyBorder="1" applyAlignment="1">
      <alignment horizontal="center"/>
    </xf>
    <xf numFmtId="177" fontId="1" fillId="0" borderId="0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177" fontId="1" fillId="0" borderId="0" xfId="0" applyNumberFormat="1" applyFont="1" applyFill="1" applyAlignment="1">
      <alignment horizontal="center"/>
    </xf>
    <xf numFmtId="177" fontId="14" fillId="0" borderId="0" xfId="0" applyNumberFormat="1" applyFont="1" applyFill="1" applyAlignment="1">
      <alignment horizontal="center"/>
    </xf>
    <xf numFmtId="177" fontId="13" fillId="0" borderId="0" xfId="0" applyNumberFormat="1" applyFont="1" applyFill="1" applyAlignment="1">
      <alignment horizontal="center"/>
    </xf>
    <xf numFmtId="183" fontId="13" fillId="0" borderId="0" xfId="0" applyNumberFormat="1" applyFont="1" applyFill="1" applyBorder="1" applyAlignment="1">
      <alignment horizontal="center"/>
    </xf>
    <xf numFmtId="10" fontId="9" fillId="0" borderId="0" xfId="0" applyNumberFormat="1" applyFont="1" applyFill="1" applyBorder="1" applyAlignment="1">
      <alignment horizontal="center" vertical="center"/>
    </xf>
    <xf numFmtId="176" fontId="2" fillId="2" borderId="6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wrapText="1"/>
    </xf>
    <xf numFmtId="0" fontId="15" fillId="3" borderId="3" xfId="50" applyFont="1" applyFill="1" applyBorder="1" applyAlignment="1">
      <alignment horizontal="center" vertical="center"/>
    </xf>
    <xf numFmtId="0" fontId="15" fillId="3" borderId="5" xfId="50" applyFont="1" applyFill="1" applyBorder="1" applyAlignment="1">
      <alignment horizontal="center" vertical="center"/>
    </xf>
    <xf numFmtId="0" fontId="15" fillId="3" borderId="6" xfId="50" applyFont="1" applyFill="1" applyBorder="1" applyAlignment="1">
      <alignment horizontal="center" vertical="center"/>
    </xf>
    <xf numFmtId="184" fontId="3" fillId="3" borderId="3" xfId="50" applyNumberFormat="1" applyFont="1" applyFill="1" applyBorder="1" applyAlignment="1">
      <alignment horizontal="center" vertical="center" wrapText="1"/>
    </xf>
    <xf numFmtId="184" fontId="3" fillId="3" borderId="5" xfId="50" applyNumberFormat="1" applyFont="1" applyFill="1" applyBorder="1" applyAlignment="1">
      <alignment horizontal="left" vertical="center" wrapText="1"/>
    </xf>
    <xf numFmtId="43" fontId="13" fillId="0" borderId="6" xfId="50" applyNumberFormat="1" applyFont="1" applyFill="1" applyBorder="1" applyAlignment="1">
      <alignment vertical="center" wrapText="1"/>
    </xf>
    <xf numFmtId="43" fontId="13" fillId="0" borderId="6" xfId="50" applyNumberFormat="1" applyFont="1" applyFill="1" applyBorder="1" applyAlignment="1">
      <alignment horizontal="center" vertical="center" wrapText="1"/>
    </xf>
    <xf numFmtId="184" fontId="1" fillId="3" borderId="3" xfId="50" applyNumberFormat="1" applyFont="1" applyFill="1" applyBorder="1" applyAlignment="1">
      <alignment horizontal="center" vertical="center" wrapText="1"/>
    </xf>
    <xf numFmtId="184" fontId="1" fillId="3" borderId="5" xfId="50" applyNumberFormat="1" applyFont="1" applyFill="1" applyBorder="1" applyAlignment="1">
      <alignment horizontal="left" vertical="center" wrapText="1" indent="1"/>
    </xf>
    <xf numFmtId="43" fontId="1" fillId="0" borderId="6" xfId="50" applyNumberFormat="1" applyFont="1" applyFill="1" applyBorder="1" applyAlignment="1">
      <alignment vertical="center"/>
    </xf>
    <xf numFmtId="43" fontId="16" fillId="0" borderId="6" xfId="5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wrapText="1"/>
    </xf>
    <xf numFmtId="9" fontId="3" fillId="3" borderId="6" xfId="0" applyNumberFormat="1" applyFont="1" applyFill="1" applyBorder="1" applyAlignment="1">
      <alignment horizontal="center" vertical="center" wrapText="1"/>
    </xf>
    <xf numFmtId="184" fontId="1" fillId="3" borderId="6" xfId="50" applyNumberFormat="1" applyFont="1" applyFill="1" applyBorder="1" applyAlignment="1">
      <alignment horizontal="left" vertical="center" wrapText="1" indent="1"/>
    </xf>
    <xf numFmtId="0" fontId="0" fillId="0" borderId="6" xfId="0" applyFont="1" applyFill="1" applyBorder="1" applyAlignment="1">
      <alignment vertical="center"/>
    </xf>
    <xf numFmtId="9" fontId="10" fillId="0" borderId="6" xfId="0" applyNumberFormat="1" applyFont="1" applyFill="1" applyBorder="1" applyAlignment="1">
      <alignment vertical="center"/>
    </xf>
    <xf numFmtId="0" fontId="0" fillId="0" borderId="6" xfId="0" applyFont="1" applyFill="1" applyBorder="1" applyAlignment="1">
      <alignment wrapText="1"/>
    </xf>
    <xf numFmtId="0" fontId="7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177" fontId="8" fillId="0" borderId="6" xfId="0" applyNumberFormat="1" applyFont="1" applyFill="1" applyBorder="1" applyAlignment="1">
      <alignment horizontal="center" vertical="center"/>
    </xf>
    <xf numFmtId="9" fontId="3" fillId="3" borderId="6" xfId="0" applyNumberFormat="1" applyFont="1" applyFill="1" applyBorder="1" applyAlignment="1">
      <alignment horizontal="center" vertical="center"/>
    </xf>
    <xf numFmtId="43" fontId="1" fillId="0" borderId="6" xfId="50" applyNumberFormat="1" applyFont="1" applyFill="1" applyBorder="1" applyAlignment="1">
      <alignment vertical="center" wrapText="1"/>
    </xf>
    <xf numFmtId="0" fontId="0" fillId="0" borderId="6" xfId="0" applyFont="1" applyFill="1" applyBorder="1" applyAlignment="1"/>
    <xf numFmtId="0" fontId="5" fillId="0" borderId="6" xfId="0" applyFont="1" applyFill="1" applyBorder="1" applyAlignment="1">
      <alignment horizontal="center" vertical="center"/>
    </xf>
    <xf numFmtId="43" fontId="13" fillId="0" borderId="6" xfId="50" applyNumberFormat="1" applyFont="1" applyFill="1" applyBorder="1" applyAlignment="1">
      <alignment vertical="center"/>
    </xf>
    <xf numFmtId="43" fontId="16" fillId="0" borderId="6" xfId="50" applyNumberFormat="1" applyFont="1" applyFill="1" applyBorder="1" applyAlignment="1">
      <alignment vertical="center" wrapText="1"/>
    </xf>
    <xf numFmtId="178" fontId="3" fillId="3" borderId="6" xfId="0" applyNumberFormat="1" applyFont="1" applyFill="1" applyBorder="1" applyAlignment="1">
      <alignment horizontal="center" vertical="center"/>
    </xf>
    <xf numFmtId="0" fontId="1" fillId="3" borderId="6" xfId="50" applyFont="1" applyFill="1" applyBorder="1" applyAlignment="1">
      <alignment horizontal="left" vertical="center" wrapText="1" indent="1"/>
    </xf>
    <xf numFmtId="43" fontId="17" fillId="0" borderId="6" xfId="50" applyNumberFormat="1" applyFont="1" applyFill="1" applyBorder="1" applyAlignment="1">
      <alignment vertical="center" wrapText="1"/>
    </xf>
    <xf numFmtId="177" fontId="1" fillId="0" borderId="6" xfId="50" applyNumberFormat="1" applyFont="1" applyFill="1" applyBorder="1" applyAlignment="1">
      <alignment horizontal="center" vertical="center"/>
    </xf>
    <xf numFmtId="43" fontId="1" fillId="0" borderId="6" xfId="50" applyNumberFormat="1" applyFont="1" applyFill="1" applyBorder="1" applyAlignment="1">
      <alignment horizontal="center" vertical="center" wrapText="1"/>
    </xf>
    <xf numFmtId="43" fontId="1" fillId="0" borderId="6" xfId="50" applyNumberFormat="1" applyFont="1" applyFill="1" applyBorder="1" applyAlignment="1">
      <alignment horizontal="center" vertical="center"/>
    </xf>
    <xf numFmtId="43" fontId="17" fillId="0" borderId="6" xfId="50" applyNumberFormat="1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18" fillId="3" borderId="6" xfId="0" applyFont="1" applyFill="1" applyBorder="1" applyAlignment="1">
      <alignment horizontal="center" vertical="center"/>
    </xf>
    <xf numFmtId="184" fontId="1" fillId="0" borderId="6" xfId="50" applyNumberFormat="1" applyFont="1" applyFill="1" applyBorder="1" applyAlignment="1">
      <alignment horizontal="center" vertical="center"/>
    </xf>
    <xf numFmtId="43" fontId="16" fillId="0" borderId="5" xfId="50" applyNumberFormat="1" applyFont="1" applyFill="1" applyBorder="1" applyAlignment="1">
      <alignment vertical="center"/>
    </xf>
    <xf numFmtId="178" fontId="1" fillId="0" borderId="6" xfId="0" applyNumberFormat="1" applyFont="1" applyFill="1" applyBorder="1" applyAlignment="1">
      <alignment vertical="center"/>
    </xf>
    <xf numFmtId="178" fontId="1" fillId="0" borderId="5" xfId="0" applyNumberFormat="1" applyFont="1" applyFill="1" applyBorder="1" applyAlignment="1">
      <alignment vertical="center"/>
    </xf>
    <xf numFmtId="185" fontId="16" fillId="0" borderId="6" xfId="50" applyNumberFormat="1" applyFont="1" applyFill="1" applyBorder="1" applyAlignment="1">
      <alignment vertical="center"/>
    </xf>
    <xf numFmtId="0" fontId="1" fillId="0" borderId="6" xfId="0" applyFont="1" applyFill="1" applyBorder="1" applyAlignment="1"/>
    <xf numFmtId="0" fontId="1" fillId="0" borderId="6" xfId="0" applyFont="1" applyFill="1" applyBorder="1" applyAlignment="1">
      <alignment vertical="center"/>
    </xf>
    <xf numFmtId="0" fontId="1" fillId="3" borderId="6" xfId="0" applyFont="1" applyFill="1" applyBorder="1" applyAlignment="1">
      <alignment horizontal="left" vertical="center" indent="1"/>
    </xf>
    <xf numFmtId="0" fontId="1" fillId="3" borderId="6" xfId="0" applyFont="1" applyFill="1" applyBorder="1" applyAlignment="1">
      <alignment horizontal="left" indent="1"/>
    </xf>
    <xf numFmtId="9" fontId="1" fillId="0" borderId="6" xfId="0" applyNumberFormat="1" applyFont="1" applyFill="1" applyBorder="1" applyAlignment="1">
      <alignment vertical="center"/>
    </xf>
    <xf numFmtId="9" fontId="1" fillId="0" borderId="5" xfId="0" applyNumberFormat="1" applyFont="1" applyFill="1" applyBorder="1" applyAlignment="1">
      <alignment vertical="center"/>
    </xf>
    <xf numFmtId="178" fontId="1" fillId="3" borderId="6" xfId="0" applyNumberFormat="1" applyFont="1" applyFill="1" applyBorder="1" applyAlignment="1">
      <alignment horizontal="left" indent="1"/>
    </xf>
    <xf numFmtId="178" fontId="1" fillId="0" borderId="0" xfId="0" applyNumberFormat="1" applyFont="1" applyFill="1" applyBorder="1" applyAlignment="1"/>
    <xf numFmtId="43" fontId="19" fillId="0" borderId="0" xfId="50" applyNumberFormat="1" applyFont="1" applyFill="1" applyBorder="1" applyAlignment="1">
      <alignment horizontal="center" vertical="center" wrapText="1"/>
    </xf>
    <xf numFmtId="43" fontId="19" fillId="0" borderId="0" xfId="50" applyNumberFormat="1" applyFont="1" applyFill="1" applyBorder="1" applyAlignment="1">
      <alignment horizontal="center" vertical="center"/>
    </xf>
    <xf numFmtId="43" fontId="20" fillId="0" borderId="0" xfId="50" applyNumberFormat="1" applyFont="1" applyFill="1" applyBorder="1" applyAlignment="1">
      <alignment horizontal="center" vertical="center"/>
    </xf>
    <xf numFmtId="43" fontId="16" fillId="0" borderId="0" xfId="50" applyNumberFormat="1" applyFont="1" applyFill="1" applyBorder="1" applyAlignment="1">
      <alignment horizontal="center" vertical="center"/>
    </xf>
    <xf numFmtId="43" fontId="21" fillId="0" borderId="0" xfId="50" applyNumberFormat="1" applyFont="1" applyFill="1" applyBorder="1" applyAlignment="1">
      <alignment horizontal="center" vertical="center"/>
    </xf>
    <xf numFmtId="178" fontId="22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178" fontId="0" fillId="0" borderId="0" xfId="0" applyNumberFormat="1" applyFont="1" applyFill="1" applyBorder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3" fillId="2" borderId="18" xfId="0" applyFont="1" applyFill="1" applyBorder="1" applyAlignment="1" applyProtection="1">
      <alignment horizontal="center" vertical="center"/>
      <protection locked="0"/>
    </xf>
    <xf numFmtId="0" fontId="23" fillId="2" borderId="19" xfId="0" applyFont="1" applyFill="1" applyBorder="1" applyAlignment="1" applyProtection="1">
      <alignment horizontal="center" vertical="center"/>
      <protection locked="0"/>
    </xf>
    <xf numFmtId="0" fontId="23" fillId="2" borderId="20" xfId="0" applyFont="1" applyFill="1" applyBorder="1" applyAlignment="1" applyProtection="1">
      <alignment horizontal="center" vertical="center"/>
      <protection locked="0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186" fontId="3" fillId="0" borderId="2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3" borderId="2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86" fontId="3" fillId="3" borderId="6" xfId="0" applyNumberFormat="1" applyFont="1" applyFill="1" applyBorder="1" applyAlignment="1">
      <alignment horizontal="center" vertical="center"/>
    </xf>
    <xf numFmtId="186" fontId="3" fillId="0" borderId="25" xfId="0" applyNumberFormat="1" applyFont="1" applyFill="1" applyBorder="1" applyAlignment="1">
      <alignment horizontal="center" vertical="center" wrapText="1"/>
    </xf>
    <xf numFmtId="10" fontId="1" fillId="0" borderId="6" xfId="0" applyNumberFormat="1" applyFont="1" applyFill="1" applyBorder="1" applyAlignment="1">
      <alignment horizontal="center" vertical="center"/>
    </xf>
    <xf numFmtId="186" fontId="3" fillId="3" borderId="6" xfId="0" applyNumberFormat="1" applyFont="1" applyFill="1" applyBorder="1" applyAlignment="1">
      <alignment horizontal="center" vertical="center" wrapText="1"/>
    </xf>
    <xf numFmtId="187" fontId="3" fillId="0" borderId="6" xfId="0" applyNumberFormat="1" applyFont="1" applyFill="1" applyBorder="1" applyAlignment="1">
      <alignment horizontal="center" vertical="center"/>
    </xf>
    <xf numFmtId="187" fontId="3" fillId="0" borderId="25" xfId="0" applyNumberFormat="1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/>
    </xf>
    <xf numFmtId="178" fontId="1" fillId="0" borderId="6" xfId="0" applyNumberFormat="1" applyFont="1" applyFill="1" applyBorder="1" applyAlignment="1" applyProtection="1">
      <alignment horizontal="center" vertical="center"/>
    </xf>
    <xf numFmtId="188" fontId="1" fillId="0" borderId="6" xfId="0" applyNumberFormat="1" applyFont="1" applyFill="1" applyBorder="1" applyAlignment="1" applyProtection="1">
      <alignment horizontal="center" vertical="center"/>
    </xf>
    <xf numFmtId="188" fontId="1" fillId="0" borderId="6" xfId="0" applyNumberFormat="1" applyFont="1" applyFill="1" applyBorder="1" applyAlignment="1">
      <alignment horizontal="center" vertical="center"/>
    </xf>
    <xf numFmtId="188" fontId="19" fillId="0" borderId="6" xfId="0" applyNumberFormat="1" applyFont="1" applyFill="1" applyBorder="1" applyAlignment="1">
      <alignment horizontal="center" vertical="center"/>
    </xf>
    <xf numFmtId="10" fontId="1" fillId="0" borderId="25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188" fontId="3" fillId="0" borderId="6" xfId="0" applyNumberFormat="1" applyFont="1" applyFill="1" applyBorder="1" applyAlignment="1">
      <alignment horizontal="center" vertical="center"/>
    </xf>
    <xf numFmtId="10" fontId="24" fillId="0" borderId="25" xfId="0" applyNumberFormat="1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188" fontId="3" fillId="0" borderId="28" xfId="0" applyNumberFormat="1" applyFont="1" applyFill="1" applyBorder="1" applyAlignment="1">
      <alignment horizontal="center" vertical="center"/>
    </xf>
    <xf numFmtId="189" fontId="3" fillId="0" borderId="28" xfId="0" applyNumberFormat="1" applyFont="1" applyFill="1" applyBorder="1" applyAlignment="1">
      <alignment horizontal="center" vertical="center"/>
    </xf>
    <xf numFmtId="10" fontId="24" fillId="0" borderId="29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25" fillId="0" borderId="0" xfId="0" applyFont="1" applyFill="1" applyAlignment="1">
      <alignment vertical="center"/>
    </xf>
    <xf numFmtId="0" fontId="26" fillId="0" borderId="0" xfId="0" applyFont="1" applyFill="1" applyAlignment="1">
      <alignment vertical="center"/>
    </xf>
    <xf numFmtId="0" fontId="27" fillId="0" borderId="0" xfId="0" applyFont="1" applyFill="1" applyAlignment="1">
      <alignment horizontal="center" vertical="center"/>
    </xf>
    <xf numFmtId="0" fontId="28" fillId="0" borderId="30" xfId="0" applyFont="1" applyFill="1" applyBorder="1" applyAlignment="1">
      <alignment horizontal="center" vertical="center" wrapText="1"/>
    </xf>
    <xf numFmtId="188" fontId="28" fillId="0" borderId="30" xfId="0" applyNumberFormat="1" applyFont="1" applyFill="1" applyBorder="1" applyAlignment="1">
      <alignment horizontal="center" vertical="center" wrapText="1"/>
    </xf>
    <xf numFmtId="188" fontId="29" fillId="0" borderId="30" xfId="0" applyNumberFormat="1" applyFont="1" applyFill="1" applyBorder="1" applyAlignment="1">
      <alignment horizontal="center" vertical="center" wrapText="1"/>
    </xf>
    <xf numFmtId="0" fontId="29" fillId="0" borderId="31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center" wrapText="1"/>
    </xf>
    <xf numFmtId="0" fontId="30" fillId="0" borderId="32" xfId="0" applyFont="1" applyFill="1" applyBorder="1" applyAlignment="1">
      <alignment horizontal="center" vertical="center" wrapText="1"/>
    </xf>
    <xf numFmtId="0" fontId="30" fillId="0" borderId="30" xfId="0" applyFont="1" applyFill="1" applyBorder="1" applyAlignment="1">
      <alignment horizontal="center" vertical="center" wrapText="1"/>
    </xf>
    <xf numFmtId="0" fontId="30" fillId="0" borderId="33" xfId="0" applyFont="1" applyFill="1" applyBorder="1" applyAlignment="1">
      <alignment vertical="center" wrapText="1"/>
    </xf>
    <xf numFmtId="0" fontId="31" fillId="0" borderId="31" xfId="0" applyFont="1" applyFill="1" applyBorder="1" applyAlignment="1">
      <alignment vertical="center"/>
    </xf>
    <xf numFmtId="0" fontId="26" fillId="0" borderId="6" xfId="0" applyFont="1" applyFill="1" applyBorder="1" applyAlignment="1">
      <alignment vertical="center" wrapText="1"/>
    </xf>
    <xf numFmtId="0" fontId="30" fillId="0" borderId="34" xfId="0" applyFont="1" applyFill="1" applyBorder="1" applyAlignment="1">
      <alignment horizontal="center" vertical="center" wrapText="1"/>
    </xf>
    <xf numFmtId="0" fontId="30" fillId="0" borderId="35" xfId="0" applyFont="1" applyFill="1" applyBorder="1" applyAlignment="1">
      <alignment vertical="center" wrapText="1"/>
    </xf>
    <xf numFmtId="0" fontId="30" fillId="0" borderId="36" xfId="0" applyFont="1" applyFill="1" applyBorder="1" applyAlignment="1">
      <alignment horizontal="center" vertical="center" wrapText="1"/>
    </xf>
    <xf numFmtId="0" fontId="30" fillId="0" borderId="37" xfId="0" applyFont="1" applyFill="1" applyBorder="1" applyAlignment="1">
      <alignment vertical="center" wrapText="1"/>
    </xf>
    <xf numFmtId="0" fontId="31" fillId="0" borderId="31" xfId="0" applyFont="1" applyFill="1" applyBorder="1" applyAlignment="1">
      <alignment horizontal="center" vertical="center" wrapText="1"/>
    </xf>
    <xf numFmtId="0" fontId="30" fillId="0" borderId="38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vertical="center"/>
    </xf>
    <xf numFmtId="0" fontId="30" fillId="0" borderId="31" xfId="0" applyFont="1" applyFill="1" applyBorder="1" applyAlignment="1">
      <alignment horizontal="center" vertical="center" wrapText="1"/>
    </xf>
    <xf numFmtId="0" fontId="30" fillId="0" borderId="39" xfId="0" applyFont="1" applyFill="1" applyBorder="1" applyAlignment="1">
      <alignment horizontal="center" vertical="center" wrapText="1"/>
    </xf>
    <xf numFmtId="0" fontId="30" fillId="0" borderId="40" xfId="0" applyFont="1" applyFill="1" applyBorder="1" applyAlignment="1">
      <alignment horizontal="center" vertical="center" wrapText="1"/>
    </xf>
    <xf numFmtId="0" fontId="30" fillId="0" borderId="41" xfId="0" applyFont="1" applyFill="1" applyBorder="1" applyAlignment="1">
      <alignment horizontal="center" vertical="center" wrapText="1"/>
    </xf>
    <xf numFmtId="9" fontId="31" fillId="0" borderId="42" xfId="0" applyNumberFormat="1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center" vertical="center"/>
    </xf>
    <xf numFmtId="0" fontId="32" fillId="0" borderId="0" xfId="0" applyFont="1" applyFill="1" applyAlignment="1">
      <alignment vertical="center"/>
    </xf>
    <xf numFmtId="0" fontId="33" fillId="0" borderId="0" xfId="0" applyFont="1"/>
    <xf numFmtId="0" fontId="0" fillId="0" borderId="0" xfId="0" applyFont="1"/>
    <xf numFmtId="0" fontId="23" fillId="2" borderId="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90" fontId="5" fillId="0" borderId="3" xfId="0" applyNumberFormat="1" applyFont="1" applyFill="1" applyBorder="1" applyAlignment="1">
      <alignment horizontal="center" vertical="center"/>
    </xf>
    <xf numFmtId="190" fontId="5" fillId="0" borderId="4" xfId="0" applyNumberFormat="1" applyFont="1" applyFill="1" applyBorder="1" applyAlignment="1">
      <alignment horizontal="center" vertical="center"/>
    </xf>
    <xf numFmtId="190" fontId="5" fillId="0" borderId="5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178" fontId="0" fillId="0" borderId="6" xfId="0" applyNumberFormat="1" applyFont="1" applyBorder="1" applyAlignment="1">
      <alignment horizontal="center" vertical="center"/>
    </xf>
    <xf numFmtId="0" fontId="35" fillId="0" borderId="6" xfId="0" applyFont="1" applyBorder="1" applyAlignment="1">
      <alignment horizontal="center" vertical="center"/>
    </xf>
    <xf numFmtId="188" fontId="0" fillId="4" borderId="6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178" fontId="5" fillId="0" borderId="6" xfId="0" applyNumberFormat="1" applyFont="1" applyBorder="1" applyAlignment="1">
      <alignment horizontal="center" vertical="center"/>
    </xf>
    <xf numFmtId="0" fontId="34" fillId="0" borderId="6" xfId="0" applyFont="1" applyBorder="1" applyAlignment="1">
      <alignment horizontal="center" vertical="center"/>
    </xf>
    <xf numFmtId="178" fontId="34" fillId="0" borderId="6" xfId="0" applyNumberFormat="1" applyFont="1" applyBorder="1" applyAlignment="1">
      <alignment horizontal="center" vertical="center"/>
    </xf>
    <xf numFmtId="182" fontId="34" fillId="3" borderId="3" xfId="0" applyNumberFormat="1" applyFont="1" applyFill="1" applyBorder="1" applyAlignment="1">
      <alignment horizontal="center" vertical="center"/>
    </xf>
    <xf numFmtId="182" fontId="34" fillId="3" borderId="5" xfId="0" applyNumberFormat="1" applyFont="1" applyFill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4" fillId="0" borderId="6" xfId="0" applyFont="1" applyBorder="1" applyAlignment="1">
      <alignment vertical="center"/>
    </xf>
    <xf numFmtId="0" fontId="1" fillId="0" borderId="0" xfId="0" applyNumberFormat="1" applyFont="1" applyAlignment="1">
      <alignment horizontal="left" wrapText="1"/>
    </xf>
    <xf numFmtId="0" fontId="36" fillId="0" borderId="3" xfId="0" applyFont="1" applyFill="1" applyBorder="1" applyAlignment="1">
      <alignment horizontal="center" vertical="center"/>
    </xf>
    <xf numFmtId="0" fontId="36" fillId="0" borderId="4" xfId="0" applyFont="1" applyFill="1" applyBorder="1" applyAlignment="1">
      <alignment horizontal="center" vertical="center"/>
    </xf>
    <xf numFmtId="0" fontId="36" fillId="0" borderId="5" xfId="0" applyFont="1" applyFill="1" applyBorder="1" applyAlignment="1">
      <alignment horizontal="center" vertical="center"/>
    </xf>
    <xf numFmtId="190" fontId="36" fillId="0" borderId="3" xfId="0" applyNumberFormat="1" applyFont="1" applyFill="1" applyBorder="1" applyAlignment="1">
      <alignment horizontal="center" vertical="center"/>
    </xf>
    <xf numFmtId="190" fontId="36" fillId="0" borderId="4" xfId="0" applyNumberFormat="1" applyFont="1" applyFill="1" applyBorder="1" applyAlignment="1">
      <alignment horizontal="center" vertical="center"/>
    </xf>
    <xf numFmtId="190" fontId="36" fillId="0" borderId="5" xfId="0" applyNumberFormat="1" applyFont="1" applyFill="1" applyBorder="1" applyAlignment="1">
      <alignment horizontal="center" vertical="center"/>
    </xf>
    <xf numFmtId="0" fontId="37" fillId="0" borderId="3" xfId="0" applyFont="1" applyFill="1" applyBorder="1" applyAlignment="1">
      <alignment horizontal="center" vertical="center"/>
    </xf>
    <xf numFmtId="0" fontId="37" fillId="0" borderId="4" xfId="0" applyFont="1" applyFill="1" applyBorder="1" applyAlignment="1">
      <alignment horizontal="center" vertical="center"/>
    </xf>
    <xf numFmtId="0" fontId="37" fillId="0" borderId="5" xfId="0" applyFont="1" applyFill="1" applyBorder="1" applyAlignment="1">
      <alignment horizontal="center" vertical="center"/>
    </xf>
    <xf numFmtId="0" fontId="34" fillId="3" borderId="6" xfId="0" applyFont="1" applyFill="1" applyBorder="1" applyAlignment="1">
      <alignment horizontal="center" vertical="center"/>
    </xf>
    <xf numFmtId="0" fontId="37" fillId="0" borderId="6" xfId="0" applyFont="1" applyBorder="1" applyAlignment="1">
      <alignment horizontal="center" vertical="center"/>
    </xf>
    <xf numFmtId="188" fontId="37" fillId="4" borderId="6" xfId="0" applyNumberFormat="1" applyFont="1" applyFill="1" applyBorder="1" applyAlignment="1">
      <alignment horizontal="center" vertical="center"/>
    </xf>
    <xf numFmtId="178" fontId="37" fillId="0" borderId="6" xfId="0" applyNumberFormat="1" applyFont="1" applyBorder="1" applyAlignment="1">
      <alignment horizontal="center" vertical="center"/>
    </xf>
    <xf numFmtId="0" fontId="34" fillId="3" borderId="3" xfId="0" applyFont="1" applyFill="1" applyBorder="1" applyAlignment="1">
      <alignment horizontal="center" vertical="center"/>
    </xf>
    <xf numFmtId="0" fontId="34" fillId="3" borderId="5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6" xfId="0" applyFont="1" applyBorder="1" applyAlignment="1">
      <alignment horizontal="center"/>
    </xf>
    <xf numFmtId="0" fontId="38" fillId="0" borderId="0" xfId="0" applyNumberFormat="1" applyFont="1" applyAlignment="1">
      <alignment horizontal="left"/>
    </xf>
    <xf numFmtId="0" fontId="0" fillId="0" borderId="0" xfId="0" applyFont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38" fillId="0" borderId="0" xfId="0" applyFont="1" applyAlignment="1"/>
    <xf numFmtId="0" fontId="38" fillId="0" borderId="0" xfId="0" applyFont="1"/>
    <xf numFmtId="0" fontId="0" fillId="0" borderId="6" xfId="0" applyBorder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节能减排_3" xfId="49"/>
    <cellStyle name="常规 2" xfId="50"/>
  </cellStyles>
  <tableStyles count="0" defaultTableStyle="TableStyleMedium9" defaultPivotStyle="PivotStyleLight16"/>
  <colors>
    <mruColors>
      <color rgb="00FCF5C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eetMetadata" Target="metadata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>
    <tabColor rgb="FFFF0000"/>
  </sheetPr>
  <dimension ref="A2:R41"/>
  <sheetViews>
    <sheetView view="pageBreakPreview" zoomScaleNormal="100" workbookViewId="0">
      <selection activeCell="D49" sqref="D49"/>
    </sheetView>
  </sheetViews>
  <sheetFormatPr defaultColWidth="9" defaultRowHeight="14.25"/>
  <cols>
    <col min="1" max="1" width="10" customWidth="1"/>
    <col min="2" max="2" width="6.00833333333333" customWidth="1"/>
    <col min="3" max="3" width="12.875" customWidth="1"/>
    <col min="4" max="4" width="10.875" customWidth="1"/>
    <col min="5" max="6" width="10.5" customWidth="1"/>
    <col min="7" max="7" width="10.375" customWidth="1"/>
    <col min="8" max="8" width="11.625" hidden="1" customWidth="1"/>
    <col min="9" max="9" width="11.125" hidden="1" customWidth="1"/>
    <col min="10" max="10" width="11.25" hidden="1" customWidth="1"/>
    <col min="11" max="11" width="10.75" hidden="1" customWidth="1"/>
    <col min="12" max="12" width="11.125" customWidth="1"/>
    <col min="13" max="13" width="10.75" hidden="1" customWidth="1"/>
    <col min="14" max="14" width="5.75" hidden="1" customWidth="1"/>
    <col min="15" max="15" width="12" hidden="1" customWidth="1"/>
    <col min="16" max="16" width="11.125" hidden="1" customWidth="1"/>
    <col min="17" max="17" width="13.375" hidden="1" customWidth="1"/>
  </cols>
  <sheetData>
    <row r="2" s="234" customFormat="1" ht="34" customHeight="1" spans="2:17">
      <c r="B2" s="236" t="e">
        <f>#REF!</f>
        <v>#REF!</v>
      </c>
      <c r="C2" s="236"/>
      <c r="D2" s="236"/>
      <c r="E2" s="236"/>
      <c r="F2" s="236"/>
      <c r="G2" s="236"/>
      <c r="H2" s="236"/>
      <c r="I2" s="236"/>
      <c r="J2" s="236"/>
      <c r="K2" s="236"/>
      <c r="L2" s="236"/>
    </row>
    <row r="3" s="234" customFormat="1" ht="20" customHeight="1" spans="2:17">
      <c r="B3" s="237" t="s">
        <v>0</v>
      </c>
      <c r="C3" s="238"/>
      <c r="D3" s="238"/>
      <c r="E3" s="239"/>
      <c r="F3" s="240">
        <f>F16</f>
        <v>1863.09</v>
      </c>
      <c r="G3" s="241"/>
      <c r="H3" s="241"/>
      <c r="I3" s="241"/>
      <c r="J3" s="241"/>
      <c r="K3" s="242"/>
      <c r="L3" s="242"/>
    </row>
    <row r="4" s="234" customFormat="1" ht="20" hidden="1" customHeight="1" spans="2:17">
      <c r="B4" s="237" t="s">
        <v>1</v>
      </c>
      <c r="C4" s="238"/>
      <c r="D4" s="238"/>
      <c r="E4" s="239"/>
      <c r="F4" s="240">
        <f>D16</f>
        <v>8215.2</v>
      </c>
      <c r="G4" s="241"/>
      <c r="H4" s="241"/>
      <c r="I4" s="241"/>
      <c r="J4" s="241"/>
      <c r="K4" s="242"/>
      <c r="L4" s="242"/>
    </row>
    <row r="5" s="234" customFormat="1" ht="20" hidden="1" customHeight="1" spans="2:17">
      <c r="B5" s="237" t="s">
        <v>2</v>
      </c>
      <c r="C5" s="238"/>
      <c r="D5" s="238"/>
      <c r="E5" s="239"/>
      <c r="F5" s="240" t="e">
        <f>#REF!</f>
        <v>#REF!</v>
      </c>
      <c r="G5" s="241"/>
      <c r="H5" s="241"/>
      <c r="I5" s="241"/>
      <c r="J5" s="241"/>
      <c r="K5" s="242"/>
      <c r="L5" s="242"/>
    </row>
    <row r="6" s="234" customFormat="1" ht="20" hidden="1" customHeight="1" spans="2:17">
      <c r="B6" s="237" t="s">
        <v>3</v>
      </c>
      <c r="C6" s="238"/>
      <c r="D6" s="238"/>
      <c r="E6" s="239"/>
      <c r="F6" s="243" t="e">
        <f>#REF!</f>
        <v>#REF!</v>
      </c>
      <c r="G6" s="244"/>
      <c r="H6" s="244"/>
      <c r="I6" s="244"/>
      <c r="J6" s="244"/>
      <c r="K6" s="245"/>
      <c r="L6" s="245"/>
    </row>
    <row r="7" s="234" customFormat="1" ht="20" hidden="1" customHeight="1" spans="2:17">
      <c r="B7" s="237" t="s">
        <v>4</v>
      </c>
      <c r="C7" s="238"/>
      <c r="D7" s="238"/>
      <c r="E7" s="239"/>
      <c r="F7" s="240" t="e">
        <f>#REF!</f>
        <v>#REF!</v>
      </c>
      <c r="G7" s="241"/>
      <c r="H7" s="241"/>
      <c r="I7" s="241"/>
      <c r="J7" s="241"/>
      <c r="K7" s="242"/>
      <c r="L7" s="242"/>
    </row>
    <row r="8" s="235" customFormat="1" ht="9" customHeight="1" spans="2:17">
      <c r="B8" s="42"/>
      <c r="C8" s="246"/>
      <c r="D8" s="246"/>
      <c r="E8" s="246"/>
      <c r="F8" s="246"/>
      <c r="G8" s="246"/>
      <c r="H8" s="43"/>
      <c r="I8" s="43"/>
      <c r="J8" s="43"/>
      <c r="K8" s="43"/>
      <c r="L8" s="43"/>
    </row>
    <row r="9" s="235" customFormat="1" ht="42" customHeight="1" spans="2:17">
      <c r="B9" s="247" t="s">
        <v>5</v>
      </c>
      <c r="C9" s="247" t="s">
        <v>6</v>
      </c>
      <c r="D9" s="248" t="s">
        <v>7</v>
      </c>
      <c r="E9" s="248" t="s">
        <v>8</v>
      </c>
      <c r="F9" s="248" t="s">
        <v>9</v>
      </c>
      <c r="G9" s="248" t="s">
        <v>10</v>
      </c>
      <c r="H9" s="248" t="s">
        <v>11</v>
      </c>
      <c r="I9" s="248" t="s">
        <v>12</v>
      </c>
      <c r="J9" s="248" t="s">
        <v>13</v>
      </c>
      <c r="K9" s="248" t="s">
        <v>14</v>
      </c>
      <c r="L9" s="248" t="s">
        <v>15</v>
      </c>
      <c r="M9" s="249" t="s">
        <v>16</v>
      </c>
      <c r="N9" s="249" t="s">
        <v>17</v>
      </c>
      <c r="O9" s="249" t="s">
        <v>18</v>
      </c>
      <c r="P9" s="249" t="s">
        <v>19</v>
      </c>
      <c r="Q9" s="249" t="s">
        <v>20</v>
      </c>
    </row>
    <row r="10" s="235" customFormat="1" ht="25" customHeight="1" spans="2:17">
      <c r="B10" s="250">
        <v>1</v>
      </c>
      <c r="C10" s="250" t="s">
        <v>21</v>
      </c>
      <c r="D10" s="250" t="s">
        <v>22</v>
      </c>
      <c r="E10" s="250" t="s">
        <v>22</v>
      </c>
      <c r="F10" s="250" t="s">
        <v>22</v>
      </c>
      <c r="G10" s="250" t="s">
        <v>22</v>
      </c>
      <c r="H10" s="251"/>
      <c r="I10" s="251"/>
      <c r="J10" s="251"/>
      <c r="K10" s="251"/>
      <c r="L10" s="251"/>
      <c r="M10" s="252">
        <v>6000</v>
      </c>
      <c r="N10" s="252">
        <v>3</v>
      </c>
      <c r="O10" s="250">
        <f>M10*N10</f>
        <v>18000</v>
      </c>
      <c r="P10" s="252">
        <v>5</v>
      </c>
      <c r="Q10" s="250">
        <f>O10*P10</f>
        <v>90000</v>
      </c>
    </row>
    <row r="11" s="235" customFormat="1" ht="25" customHeight="1" spans="2:17">
      <c r="B11" s="250">
        <v>2</v>
      </c>
      <c r="C11" s="250" t="s">
        <v>23</v>
      </c>
      <c r="D11" s="253">
        <f>E11*2.8</f>
        <v>1825.6</v>
      </c>
      <c r="E11" s="250">
        <v>652</v>
      </c>
      <c r="F11" s="250">
        <f>E11*0.635</f>
        <v>414.02</v>
      </c>
      <c r="G11" s="250" t="s">
        <v>24</v>
      </c>
      <c r="H11" s="251"/>
      <c r="I11" s="251"/>
      <c r="J11" s="251"/>
      <c r="K11" s="251"/>
      <c r="L11" s="251" t="s">
        <v>25</v>
      </c>
      <c r="M11" s="252"/>
      <c r="N11" s="252"/>
      <c r="O11" s="250"/>
      <c r="P11" s="252"/>
      <c r="Q11" s="250"/>
    </row>
    <row r="12" s="235" customFormat="1" ht="25" customHeight="1" spans="2:17">
      <c r="B12" s="250">
        <v>3</v>
      </c>
      <c r="C12" s="250" t="s">
        <v>26</v>
      </c>
      <c r="D12" s="253">
        <f>E12*2.8</f>
        <v>2220.4</v>
      </c>
      <c r="E12" s="250">
        <v>793</v>
      </c>
      <c r="F12" s="250">
        <f>E12*0.635</f>
        <v>503.555</v>
      </c>
      <c r="G12" s="250" t="s">
        <v>24</v>
      </c>
      <c r="H12" s="251"/>
      <c r="I12" s="251"/>
      <c r="J12" s="251"/>
      <c r="K12" s="251"/>
      <c r="L12" s="251" t="s">
        <v>25</v>
      </c>
      <c r="M12" s="252"/>
      <c r="N12" s="252"/>
      <c r="O12" s="250"/>
      <c r="P12" s="252"/>
      <c r="Q12" s="250"/>
    </row>
    <row r="13" s="235" customFormat="1" ht="25" customHeight="1" spans="2:17">
      <c r="B13" s="250">
        <v>4</v>
      </c>
      <c r="C13" s="250" t="s">
        <v>27</v>
      </c>
      <c r="D13" s="253">
        <f>E13*2.8</f>
        <v>2307.2</v>
      </c>
      <c r="E13" s="250">
        <v>824</v>
      </c>
      <c r="F13" s="250">
        <f>E13*0.635</f>
        <v>523.24</v>
      </c>
      <c r="G13" s="250" t="s">
        <v>24</v>
      </c>
      <c r="H13" s="251"/>
      <c r="I13" s="251"/>
      <c r="J13" s="251"/>
      <c r="K13" s="251"/>
      <c r="L13" s="251" t="s">
        <v>25</v>
      </c>
      <c r="M13" s="252"/>
      <c r="N13" s="252"/>
      <c r="O13" s="250"/>
      <c r="P13" s="252"/>
      <c r="Q13" s="250"/>
    </row>
    <row r="14" s="235" customFormat="1" ht="25" customHeight="1" spans="2:17">
      <c r="B14" s="250">
        <v>5</v>
      </c>
      <c r="C14" s="250" t="s">
        <v>28</v>
      </c>
      <c r="D14" s="253">
        <f>E14*2.8</f>
        <v>1862</v>
      </c>
      <c r="E14" s="250">
        <v>665</v>
      </c>
      <c r="F14" s="250">
        <f>E14*0.635</f>
        <v>422.275</v>
      </c>
      <c r="G14" s="250" t="s">
        <v>24</v>
      </c>
      <c r="H14" s="251"/>
      <c r="I14" s="251"/>
      <c r="J14" s="251"/>
      <c r="K14" s="251"/>
      <c r="L14" s="251" t="s">
        <v>25</v>
      </c>
      <c r="M14" s="252"/>
      <c r="N14" s="252"/>
      <c r="O14" s="250"/>
      <c r="P14" s="252"/>
      <c r="Q14" s="250"/>
    </row>
    <row r="15" s="235" customFormat="1" ht="25" customHeight="1" spans="2:17">
      <c r="B15" s="250">
        <v>6</v>
      </c>
      <c r="C15" s="250" t="s">
        <v>29</v>
      </c>
      <c r="D15" s="250" t="s">
        <v>22</v>
      </c>
      <c r="E15" s="250" t="s">
        <v>22</v>
      </c>
      <c r="F15" s="250" t="s">
        <v>22</v>
      </c>
      <c r="G15" s="250" t="s">
        <v>22</v>
      </c>
      <c r="H15" s="251"/>
      <c r="I15" s="251"/>
      <c r="J15" s="251"/>
      <c r="K15" s="251"/>
      <c r="L15" s="251"/>
      <c r="M15" s="252"/>
      <c r="N15" s="252"/>
      <c r="O15" s="250"/>
      <c r="P15" s="252"/>
      <c r="Q15" s="250"/>
    </row>
    <row r="16" s="235" customFormat="1" ht="25" customHeight="1" spans="2:17">
      <c r="B16" s="237" t="s">
        <v>30</v>
      </c>
      <c r="C16" s="239"/>
      <c r="D16" s="254">
        <f>SUM(D10:D15)</f>
        <v>8215.2</v>
      </c>
      <c r="E16" s="254">
        <f>SUM(E10:E15)</f>
        <v>2934</v>
      </c>
      <c r="F16" s="255">
        <f>SUM(F10:F15)</f>
        <v>1863.09</v>
      </c>
      <c r="G16" s="256"/>
      <c r="H16" s="257">
        <f>SUM(H10:H15)</f>
        <v>0</v>
      </c>
      <c r="I16" s="257">
        <f>SUM(I10:I15)</f>
        <v>0</v>
      </c>
      <c r="J16" s="257">
        <f>SUM(J10:J15)</f>
        <v>0</v>
      </c>
      <c r="K16" s="257">
        <f>SUM(H16:I16)</f>
        <v>0</v>
      </c>
      <c r="L16" s="257"/>
      <c r="M16" s="258">
        <f>SUM(M10:M15)</f>
        <v>6000</v>
      </c>
      <c r="N16" s="258">
        <f>SUM(N10:N15)</f>
        <v>3</v>
      </c>
      <c r="O16" s="258">
        <f>SUM(O10:O15)</f>
        <v>18000</v>
      </c>
      <c r="P16" s="259">
        <f>Q16/O16</f>
        <v>5</v>
      </c>
      <c r="Q16" s="258">
        <f>SUM(Q10:Q15)</f>
        <v>90000</v>
      </c>
    </row>
    <row r="17" s="235" customFormat="1" ht="25" customHeight="1" spans="1:14">
      <c r="B17" s="260" t="e">
        <f>F7</f>
        <v>#REF!</v>
      </c>
      <c r="C17" s="261"/>
      <c r="D17" s="262"/>
      <c r="E17" s="263"/>
      <c r="F17" s="263"/>
      <c r="G17" s="264"/>
      <c r="H17" s="259" t="e">
        <f t="shared" ref="H17:J17" si="0">H16*$B$17</f>
        <v>#REF!</v>
      </c>
      <c r="I17" s="259" t="e">
        <f t="shared" si="0"/>
        <v>#REF!</v>
      </c>
      <c r="J17" s="259" t="e">
        <f t="shared" si="0"/>
        <v>#REF!</v>
      </c>
      <c r="K17" s="259" t="e">
        <f>SUM(H17:I17)</f>
        <v>#REF!</v>
      </c>
      <c r="L17" s="259"/>
    </row>
    <row r="18" ht="11" customHeight="1"/>
    <row r="19" s="234" customFormat="1" ht="34" hidden="1" customHeight="1" spans="1:14">
      <c r="B19" s="236" t="e">
        <f>#REF!</f>
        <v>#REF!</v>
      </c>
      <c r="C19" s="236"/>
      <c r="D19" s="236"/>
      <c r="E19" s="236"/>
      <c r="F19" s="236"/>
      <c r="G19" s="236"/>
      <c r="H19" s="236"/>
      <c r="I19" s="236"/>
      <c r="J19" s="236"/>
      <c r="K19" s="236"/>
      <c r="L19" s="236"/>
      <c r="N19" s="265"/>
    </row>
    <row r="20" s="234" customFormat="1" ht="20" hidden="1" customHeight="1" spans="1:14">
      <c r="B20" s="237" t="s">
        <v>0</v>
      </c>
      <c r="C20" s="238"/>
      <c r="D20" s="238"/>
      <c r="E20" s="239"/>
      <c r="F20" s="240">
        <f>F32</f>
        <v>1072.515</v>
      </c>
      <c r="G20" s="241"/>
      <c r="H20" s="241"/>
      <c r="I20" s="241"/>
      <c r="J20" s="241"/>
      <c r="K20" s="242"/>
      <c r="L20" s="242"/>
    </row>
    <row r="21" s="234" customFormat="1" ht="20" hidden="1" customHeight="1" spans="1:14">
      <c r="B21" s="237" t="s">
        <v>1</v>
      </c>
      <c r="C21" s="238"/>
      <c r="D21" s="238"/>
      <c r="E21" s="239"/>
      <c r="F21" s="240">
        <f>D32</f>
        <v>4731.3</v>
      </c>
      <c r="G21" s="241"/>
      <c r="H21" s="241"/>
      <c r="I21" s="241"/>
      <c r="J21" s="241"/>
      <c r="K21" s="242"/>
      <c r="L21" s="242"/>
    </row>
    <row r="22" s="234" customFormat="1" ht="20" hidden="1" customHeight="1" spans="1:14">
      <c r="B22" s="237" t="s">
        <v>2</v>
      </c>
      <c r="C22" s="238"/>
      <c r="D22" s="238"/>
      <c r="E22" s="239"/>
      <c r="F22" s="266" t="e">
        <f>#REF!</f>
        <v>#REF!</v>
      </c>
      <c r="G22" s="267"/>
      <c r="H22" s="267"/>
      <c r="I22" s="267"/>
      <c r="J22" s="267"/>
      <c r="K22" s="268"/>
      <c r="L22" s="268"/>
    </row>
    <row r="23" s="234" customFormat="1" ht="20" hidden="1" customHeight="1" spans="1:14">
      <c r="B23" s="237" t="s">
        <v>3</v>
      </c>
      <c r="C23" s="238"/>
      <c r="D23" s="238"/>
      <c r="E23" s="239"/>
      <c r="F23" s="269" t="e">
        <f>#REF!</f>
        <v>#REF!</v>
      </c>
      <c r="G23" s="270"/>
      <c r="H23" s="270"/>
      <c r="I23" s="270"/>
      <c r="J23" s="270"/>
      <c r="K23" s="271"/>
      <c r="L23" s="271"/>
    </row>
    <row r="24" s="234" customFormat="1" ht="20" hidden="1" customHeight="1" spans="1:14">
      <c r="B24" s="237" t="s">
        <v>4</v>
      </c>
      <c r="C24" s="238"/>
      <c r="D24" s="238"/>
      <c r="E24" s="239"/>
      <c r="F24" s="240" t="e">
        <f>#REF!</f>
        <v>#REF!</v>
      </c>
      <c r="G24" s="241"/>
      <c r="H24" s="241"/>
      <c r="I24" s="241"/>
      <c r="J24" s="241"/>
      <c r="K24" s="242"/>
      <c r="L24" s="242"/>
    </row>
    <row r="25" s="235" customFormat="1" ht="9" hidden="1" customHeight="1" spans="1:14">
      <c r="B25" s="272"/>
      <c r="C25" s="273"/>
      <c r="D25" s="273"/>
      <c r="E25" s="273"/>
      <c r="F25" s="273"/>
      <c r="G25" s="273"/>
      <c r="H25" s="274"/>
      <c r="I25" s="274"/>
      <c r="J25" s="274"/>
      <c r="K25" s="274"/>
      <c r="L25" s="274"/>
    </row>
    <row r="26" s="235" customFormat="1" ht="42" hidden="1" customHeight="1" spans="1:14">
      <c r="A26" s="249" t="s">
        <v>16</v>
      </c>
      <c r="B26" s="275" t="s">
        <v>5</v>
      </c>
      <c r="C26" s="275" t="s">
        <v>6</v>
      </c>
      <c r="D26" s="249" t="s">
        <v>31</v>
      </c>
      <c r="E26" s="249" t="str">
        <f>E9</f>
        <v>635W组件数量(块)</v>
      </c>
      <c r="F26" s="249" t="s">
        <v>9</v>
      </c>
      <c r="G26" s="249" t="s">
        <v>10</v>
      </c>
      <c r="H26" s="249" t="s">
        <v>11</v>
      </c>
      <c r="I26" s="249" t="s">
        <v>12</v>
      </c>
      <c r="J26" s="249" t="s">
        <v>13</v>
      </c>
      <c r="K26" s="249" t="s">
        <v>14</v>
      </c>
      <c r="L26" s="249" t="s">
        <v>15</v>
      </c>
    </row>
    <row r="27" s="235" customFormat="1" ht="25" hidden="1" customHeight="1" spans="1:14">
      <c r="A27" s="252">
        <v>2000</v>
      </c>
      <c r="B27" s="276">
        <v>1</v>
      </c>
      <c r="C27" s="276" t="s">
        <v>32</v>
      </c>
      <c r="D27" s="277">
        <f>A27*0.9*0.8</f>
        <v>1440</v>
      </c>
      <c r="E27" s="250">
        <f t="shared" ref="E27:E31" si="1">ROUND(D27/2.8,0)</f>
        <v>514</v>
      </c>
      <c r="F27" s="276">
        <f t="shared" ref="F27:F31" si="2">E27*0.635</f>
        <v>326.39</v>
      </c>
      <c r="G27" s="276" t="s">
        <v>33</v>
      </c>
      <c r="H27" s="278"/>
      <c r="I27" s="278"/>
      <c r="J27" s="278"/>
      <c r="K27" s="278"/>
      <c r="L27" s="278" t="s">
        <v>34</v>
      </c>
    </row>
    <row r="28" s="235" customFormat="1" ht="25" hidden="1" customHeight="1" spans="1:14">
      <c r="A28" s="252">
        <v>1600</v>
      </c>
      <c r="B28" s="276">
        <v>2</v>
      </c>
      <c r="C28" s="276" t="s">
        <v>35</v>
      </c>
      <c r="D28" s="277">
        <f t="shared" ref="D28:D31" si="3">A28*0.9*0.9</f>
        <v>1296</v>
      </c>
      <c r="E28" s="250">
        <f t="shared" si="1"/>
        <v>463</v>
      </c>
      <c r="F28" s="276">
        <f t="shared" si="2"/>
        <v>294.005</v>
      </c>
      <c r="G28" s="276" t="s">
        <v>24</v>
      </c>
      <c r="H28" s="278"/>
      <c r="I28" s="278"/>
      <c r="J28" s="278"/>
      <c r="K28" s="278"/>
      <c r="L28" s="278"/>
    </row>
    <row r="29" s="235" customFormat="1" ht="25" hidden="1" customHeight="1" spans="1:14">
      <c r="A29" s="252">
        <v>1250</v>
      </c>
      <c r="B29" s="276">
        <v>3</v>
      </c>
      <c r="C29" s="276" t="s">
        <v>36</v>
      </c>
      <c r="D29" s="277">
        <f>A29*0.9*0.6</f>
        <v>675</v>
      </c>
      <c r="E29" s="250">
        <f t="shared" si="1"/>
        <v>241</v>
      </c>
      <c r="F29" s="276">
        <f t="shared" si="2"/>
        <v>153.035</v>
      </c>
      <c r="G29" s="276" t="s">
        <v>37</v>
      </c>
      <c r="H29" s="278"/>
      <c r="I29" s="278"/>
      <c r="J29" s="278"/>
      <c r="K29" s="278"/>
      <c r="L29" s="278"/>
    </row>
    <row r="30" s="235" customFormat="1" ht="25" hidden="1" customHeight="1" spans="1:14">
      <c r="A30" s="252">
        <v>630</v>
      </c>
      <c r="B30" s="276">
        <v>4</v>
      </c>
      <c r="C30" s="276" t="s">
        <v>38</v>
      </c>
      <c r="D30" s="277">
        <f t="shared" si="3"/>
        <v>510.3</v>
      </c>
      <c r="E30" s="250">
        <f t="shared" si="1"/>
        <v>182</v>
      </c>
      <c r="F30" s="276">
        <f t="shared" si="2"/>
        <v>115.57</v>
      </c>
      <c r="G30" s="276" t="s">
        <v>24</v>
      </c>
      <c r="H30" s="278"/>
      <c r="I30" s="278"/>
      <c r="J30" s="278"/>
      <c r="K30" s="278"/>
      <c r="L30" s="278"/>
    </row>
    <row r="31" s="235" customFormat="1" ht="25" hidden="1" customHeight="1" spans="1:14">
      <c r="A31" s="252">
        <v>1000</v>
      </c>
      <c r="B31" s="276">
        <v>5</v>
      </c>
      <c r="C31" s="276" t="s">
        <v>39</v>
      </c>
      <c r="D31" s="277">
        <f t="shared" si="3"/>
        <v>810</v>
      </c>
      <c r="E31" s="250">
        <f t="shared" si="1"/>
        <v>289</v>
      </c>
      <c r="F31" s="276">
        <f t="shared" si="2"/>
        <v>183.515</v>
      </c>
      <c r="G31" s="276" t="s">
        <v>24</v>
      </c>
      <c r="H31" s="278"/>
      <c r="I31" s="278"/>
      <c r="J31" s="278"/>
      <c r="K31" s="278"/>
      <c r="L31" s="278"/>
    </row>
    <row r="32" s="235" customFormat="1" ht="25" hidden="1" customHeight="1" spans="1:14">
      <c r="A32" s="258">
        <f t="shared" ref="A32:F32" si="4">SUM(A27:A31)</f>
        <v>6480</v>
      </c>
      <c r="B32" s="279" t="s">
        <v>30</v>
      </c>
      <c r="C32" s="280"/>
      <c r="D32" s="258">
        <f t="shared" si="4"/>
        <v>4731.3</v>
      </c>
      <c r="E32" s="258">
        <f t="shared" si="4"/>
        <v>1689</v>
      </c>
      <c r="F32" s="262">
        <f t="shared" si="4"/>
        <v>1072.515</v>
      </c>
      <c r="G32" s="264"/>
      <c r="H32" s="259">
        <f t="shared" ref="H32:J32" si="5">SUM(H27:H31)</f>
        <v>0</v>
      </c>
      <c r="I32" s="259">
        <f t="shared" si="5"/>
        <v>0</v>
      </c>
      <c r="J32" s="259">
        <f t="shared" si="5"/>
        <v>0</v>
      </c>
      <c r="K32" s="259">
        <f>SUM(H32:I32)</f>
        <v>0</v>
      </c>
      <c r="L32" s="259"/>
    </row>
    <row r="33" s="235" customFormat="1" ht="25" hidden="1" customHeight="1" spans="2:18">
      <c r="B33" s="260" t="e">
        <f>F24</f>
        <v>#REF!</v>
      </c>
      <c r="C33" s="261"/>
      <c r="D33" s="262"/>
      <c r="E33" s="263"/>
      <c r="F33" s="263"/>
      <c r="G33" s="264"/>
      <c r="H33" s="259" t="e">
        <f t="shared" ref="H33:J33" si="6">H32*$B$17</f>
        <v>#REF!</v>
      </c>
      <c r="I33" s="259" t="e">
        <f t="shared" si="6"/>
        <v>#REF!</v>
      </c>
      <c r="J33" s="259" t="e">
        <f t="shared" si="6"/>
        <v>#REF!</v>
      </c>
      <c r="K33" s="259" t="e">
        <f>SUM(H33:I33)</f>
        <v>#REF!</v>
      </c>
      <c r="L33" s="259"/>
    </row>
    <row r="34" customFormat="1" hidden="1" spans="2:18">
      <c r="M34" s="281"/>
      <c r="N34" s="281"/>
      <c r="O34" s="282" t="s">
        <v>40</v>
      </c>
      <c r="P34" s="282" t="s">
        <v>41</v>
      </c>
      <c r="Q34" s="282" t="s">
        <v>42</v>
      </c>
      <c r="R34" s="281"/>
    </row>
    <row r="35" customFormat="1" hidden="1" spans="2:18">
      <c r="B35" s="283" t="s">
        <v>43</v>
      </c>
      <c r="M35" s="281"/>
      <c r="N35" s="284"/>
      <c r="O35" s="285" t="s">
        <v>44</v>
      </c>
      <c r="P35" s="282" t="s">
        <v>45</v>
      </c>
      <c r="Q35" s="282" t="s">
        <v>46</v>
      </c>
      <c r="R35" s="281"/>
    </row>
    <row r="36" customFormat="1" hidden="1" spans="2:18">
      <c r="B36" s="286" t="s">
        <v>47</v>
      </c>
      <c r="M36" s="281"/>
      <c r="N36" s="284"/>
      <c r="O36" s="285"/>
      <c r="P36" s="282" t="s">
        <v>48</v>
      </c>
      <c r="Q36" s="282" t="s">
        <v>49</v>
      </c>
      <c r="R36" s="281"/>
    </row>
    <row r="37" customFormat="1" hidden="1" spans="2:18">
      <c r="B37" s="287" t="s">
        <v>50</v>
      </c>
      <c r="M37" s="281"/>
      <c r="N37" s="284"/>
      <c r="O37" s="285"/>
      <c r="P37" s="282" t="s">
        <v>51</v>
      </c>
      <c r="Q37" s="282" t="s">
        <v>52</v>
      </c>
      <c r="R37" s="281"/>
    </row>
    <row r="38" customFormat="1" hidden="1" spans="2:18">
      <c r="M38" s="281"/>
      <c r="N38" s="284"/>
      <c r="O38" s="285"/>
      <c r="P38" s="282" t="s">
        <v>53</v>
      </c>
      <c r="Q38" s="282" t="s">
        <v>54</v>
      </c>
      <c r="R38" s="281"/>
    </row>
    <row r="39" customFormat="1" hidden="1" spans="2:18">
      <c r="M39" s="281"/>
      <c r="N39" s="284"/>
      <c r="O39" s="285"/>
      <c r="P39" s="282" t="s">
        <v>55</v>
      </c>
      <c r="Q39" s="282" t="s">
        <v>56</v>
      </c>
      <c r="R39" s="281"/>
    </row>
    <row r="40" customFormat="1" hidden="1" spans="2:18">
      <c r="M40" s="281"/>
      <c r="N40" s="284"/>
      <c r="O40" s="285"/>
      <c r="P40" s="282" t="s">
        <v>57</v>
      </c>
      <c r="Q40" s="282" t="s">
        <v>58</v>
      </c>
      <c r="R40" s="281"/>
    </row>
    <row r="41" customFormat="1" hidden="1" spans="2:18">
      <c r="M41" s="168"/>
      <c r="N41" s="168"/>
      <c r="O41" s="288" t="s">
        <v>59</v>
      </c>
      <c r="P41" s="288" t="s">
        <v>22</v>
      </c>
      <c r="Q41" s="288" t="s">
        <v>60</v>
      </c>
      <c r="R41" s="168"/>
    </row>
  </sheetData>
  <mergeCells count="32">
    <mergeCell ref="B2:L2"/>
    <mergeCell ref="B3:E3"/>
    <mergeCell ref="F3:L3"/>
    <mergeCell ref="B4:E4"/>
    <mergeCell ref="F4:L4"/>
    <mergeCell ref="B5:E5"/>
    <mergeCell ref="F5:L5"/>
    <mergeCell ref="B6:E6"/>
    <mergeCell ref="F6:L6"/>
    <mergeCell ref="B7:E7"/>
    <mergeCell ref="F7:L7"/>
    <mergeCell ref="B8:L8"/>
    <mergeCell ref="B16:C16"/>
    <mergeCell ref="B17:C17"/>
    <mergeCell ref="D17:F17"/>
    <mergeCell ref="B19:L19"/>
    <mergeCell ref="B20:E20"/>
    <mergeCell ref="F20:L20"/>
    <mergeCell ref="B21:E21"/>
    <mergeCell ref="F21:L21"/>
    <mergeCell ref="B22:E22"/>
    <mergeCell ref="F22:L22"/>
    <mergeCell ref="B23:E23"/>
    <mergeCell ref="F23:L23"/>
    <mergeCell ref="B24:E24"/>
    <mergeCell ref="F24:L24"/>
    <mergeCell ref="B25:L25"/>
    <mergeCell ref="B32:C32"/>
    <mergeCell ref="B33:C33"/>
    <mergeCell ref="D33:F33"/>
    <mergeCell ref="N35:N40"/>
    <mergeCell ref="O35:O40"/>
  </mergeCells>
  <pageMargins left="0.75" right="0.75" top="1" bottom="1" header="0.5" footer="0.5"/>
  <pageSetup paperSize="9" scale="63" orientation="portrait"/>
  <headerFooter/>
  <ignoredErrors>
    <ignoredError sqref="A8:R8 G5:R7 A5:E7 A4:R4 G3:R3 A3:E3 C2:R2 A2 A10 A9:D9 F9:R9 A14:A15 M10:R10 A25:R26 A24:E24 C23:E23 A23 G22:R24 A22:E22 A21:R21 G20:R20 A20:E20 C19:R19 A19 A16:R18 A27:E31 L27:R31 G27:G31 A32:R34 A35:A37 C35:R37 A38:R41 G14 M15:R15 L14:R14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zoomScale="145" zoomScaleNormal="145" topLeftCell="A20" workbookViewId="0">
      <selection activeCell="C29" sqref="C29"/>
    </sheetView>
  </sheetViews>
  <sheetFormatPr defaultColWidth="14" defaultRowHeight="14.25"/>
  <cols>
    <col min="1" max="1" width="6.90833333333333" customWidth="1"/>
    <col min="2" max="2" width="24.3833333333333" customWidth="1"/>
    <col min="3" max="3" width="34.825" customWidth="1"/>
    <col min="4" max="4" width="4.09166666666667" customWidth="1"/>
    <col min="5" max="5" width="7.18333333333333" customWidth="1"/>
    <col min="6" max="6" width="6.45833333333333" hidden="1" customWidth="1"/>
    <col min="7" max="7" width="8.28333333333333" customWidth="1"/>
    <col min="8" max="8" width="14.7333333333333" customWidth="1"/>
    <col min="9" max="9" width="15.9416666666667" customWidth="1"/>
  </cols>
  <sheetData>
    <row r="1" s="204" customFormat="1" ht="21" customHeight="1" spans="1:9">
      <c r="A1" s="206" t="s">
        <v>61</v>
      </c>
      <c r="B1" s="206"/>
      <c r="C1" s="206"/>
      <c r="D1" s="206"/>
      <c r="E1" s="206"/>
      <c r="F1" s="206"/>
      <c r="G1" s="206"/>
      <c r="H1" s="206"/>
      <c r="I1" s="206"/>
    </row>
    <row r="2" s="205" customFormat="1" ht="13.5" spans="1:9">
      <c r="A2" s="207" t="s">
        <v>5</v>
      </c>
      <c r="B2" s="207" t="s">
        <v>62</v>
      </c>
      <c r="C2" s="207" t="s">
        <v>63</v>
      </c>
      <c r="D2" s="207" t="s">
        <v>64</v>
      </c>
      <c r="E2" s="208" t="s">
        <v>65</v>
      </c>
      <c r="F2" s="209" t="s">
        <v>66</v>
      </c>
      <c r="G2" s="209" t="s">
        <v>67</v>
      </c>
      <c r="H2" s="210" t="s">
        <v>68</v>
      </c>
      <c r="I2" s="211" t="s">
        <v>15</v>
      </c>
    </row>
    <row r="3" s="205" customFormat="1" ht="13.5" spans="1:9">
      <c r="A3" s="212">
        <v>1</v>
      </c>
      <c r="B3" s="212" t="s">
        <v>69</v>
      </c>
      <c r="C3" s="213" t="s">
        <v>70</v>
      </c>
      <c r="D3" s="213" t="s">
        <v>71</v>
      </c>
      <c r="E3" s="213">
        <v>1</v>
      </c>
      <c r="F3" s="213"/>
      <c r="G3" s="214"/>
      <c r="H3" s="215"/>
      <c r="I3" s="216"/>
    </row>
    <row r="4" s="205" customFormat="1" ht="13.5" spans="1:9">
      <c r="A4" s="217"/>
      <c r="B4" s="217"/>
      <c r="C4" s="213" t="s">
        <v>72</v>
      </c>
      <c r="D4" s="213" t="s">
        <v>73</v>
      </c>
      <c r="E4" s="213">
        <v>9</v>
      </c>
      <c r="F4" s="213"/>
      <c r="G4" s="218"/>
      <c r="H4" s="215"/>
      <c r="I4" s="216"/>
    </row>
    <row r="5" s="205" customFormat="1" ht="13.5" spans="1:9">
      <c r="A5" s="219"/>
      <c r="B5" s="219"/>
      <c r="C5" s="213" t="s">
        <v>74</v>
      </c>
      <c r="D5" s="213" t="s">
        <v>73</v>
      </c>
      <c r="E5" s="213">
        <v>1</v>
      </c>
      <c r="F5" s="213"/>
      <c r="G5" s="220"/>
      <c r="H5" s="215"/>
      <c r="I5" s="216"/>
    </row>
    <row r="6" s="205" customFormat="1" ht="13.5" spans="1:9">
      <c r="A6" s="213">
        <v>2</v>
      </c>
      <c r="B6" s="213" t="s">
        <v>75</v>
      </c>
      <c r="C6" s="213" t="s">
        <v>76</v>
      </c>
      <c r="D6" s="213" t="s">
        <v>73</v>
      </c>
      <c r="E6" s="213">
        <v>10</v>
      </c>
      <c r="F6" s="213"/>
      <c r="G6" s="213"/>
      <c r="H6" s="221"/>
      <c r="I6" s="216"/>
    </row>
    <row r="7" s="205" customFormat="1" ht="40.5" spans="1:9">
      <c r="A7" s="213">
        <v>3</v>
      </c>
      <c r="B7" s="213" t="s">
        <v>77</v>
      </c>
      <c r="C7" s="222" t="s">
        <v>78</v>
      </c>
      <c r="D7" s="213" t="s">
        <v>79</v>
      </c>
      <c r="E7" s="213">
        <v>1</v>
      </c>
      <c r="F7" s="213"/>
      <c r="G7" s="213"/>
      <c r="H7" s="221"/>
      <c r="I7" s="216"/>
    </row>
    <row r="8" s="205" customFormat="1" ht="13.5" spans="1:9">
      <c r="A8" s="213">
        <v>4</v>
      </c>
      <c r="B8" s="213" t="s">
        <v>80</v>
      </c>
      <c r="C8" s="213" t="s">
        <v>81</v>
      </c>
      <c r="D8" s="213" t="s">
        <v>82</v>
      </c>
      <c r="E8" s="213">
        <v>30</v>
      </c>
      <c r="F8" s="213"/>
      <c r="G8" s="213"/>
      <c r="H8" s="221"/>
      <c r="I8" s="223"/>
    </row>
    <row r="9" s="205" customFormat="1" ht="13.5" spans="1:9">
      <c r="A9" s="213">
        <v>5</v>
      </c>
      <c r="B9" s="213" t="s">
        <v>83</v>
      </c>
      <c r="C9" s="213" t="s">
        <v>84</v>
      </c>
      <c r="D9" s="213" t="s">
        <v>82</v>
      </c>
      <c r="E9" s="213">
        <v>200</v>
      </c>
      <c r="F9" s="213"/>
      <c r="G9" s="213"/>
      <c r="H9" s="221"/>
      <c r="I9" s="223"/>
    </row>
    <row r="10" s="205" customFormat="1" ht="13.5" spans="1:9">
      <c r="A10" s="213">
        <v>6</v>
      </c>
      <c r="B10" s="213" t="s">
        <v>85</v>
      </c>
      <c r="C10" s="213" t="s">
        <v>86</v>
      </c>
      <c r="D10" s="213" t="s">
        <v>82</v>
      </c>
      <c r="E10" s="213">
        <v>360</v>
      </c>
      <c r="F10" s="213"/>
      <c r="G10" s="213"/>
      <c r="H10" s="221"/>
      <c r="I10" s="223"/>
    </row>
    <row r="11" s="205" customFormat="1" ht="16" customHeight="1" spans="1:9">
      <c r="A11" s="213">
        <v>7</v>
      </c>
      <c r="B11" s="213" t="s">
        <v>87</v>
      </c>
      <c r="C11" s="213" t="s">
        <v>88</v>
      </c>
      <c r="D11" s="213" t="s">
        <v>82</v>
      </c>
      <c r="E11" s="213">
        <v>160</v>
      </c>
      <c r="F11" s="213"/>
      <c r="G11" s="213"/>
      <c r="H11" s="221"/>
      <c r="I11" s="223"/>
    </row>
    <row r="12" s="205" customFormat="1" ht="13.5" spans="1:9">
      <c r="A12" s="213">
        <v>8</v>
      </c>
      <c r="B12" s="213" t="s">
        <v>89</v>
      </c>
      <c r="C12" s="213" t="s">
        <v>90</v>
      </c>
      <c r="D12" s="213" t="s">
        <v>82</v>
      </c>
      <c r="E12" s="213">
        <v>200</v>
      </c>
      <c r="F12" s="213"/>
      <c r="G12" s="213"/>
      <c r="H12" s="221"/>
      <c r="I12" s="223"/>
    </row>
    <row r="13" s="205" customFormat="1" ht="13.5" spans="1:9">
      <c r="A13" s="213">
        <v>9</v>
      </c>
      <c r="B13" s="213" t="s">
        <v>91</v>
      </c>
      <c r="C13" s="213" t="s">
        <v>92</v>
      </c>
      <c r="D13" s="213" t="s">
        <v>82</v>
      </c>
      <c r="E13" s="213">
        <v>20</v>
      </c>
      <c r="F13" s="213"/>
      <c r="G13" s="213"/>
      <c r="H13" s="221"/>
      <c r="I13" s="223"/>
    </row>
    <row r="14" s="205" customFormat="1" ht="13.5" spans="1:9">
      <c r="A14" s="213">
        <v>10</v>
      </c>
      <c r="B14" s="213" t="s">
        <v>93</v>
      </c>
      <c r="C14" s="213" t="s">
        <v>94</v>
      </c>
      <c r="D14" s="213" t="s">
        <v>82</v>
      </c>
      <c r="E14" s="213">
        <v>40</v>
      </c>
      <c r="F14" s="213"/>
      <c r="G14" s="213"/>
      <c r="H14" s="221"/>
      <c r="I14" s="223"/>
    </row>
    <row r="15" s="205" customFormat="1" ht="13.5" spans="1:9">
      <c r="A15" s="213">
        <v>11</v>
      </c>
      <c r="B15" s="213" t="s">
        <v>95</v>
      </c>
      <c r="C15" s="213" t="s">
        <v>96</v>
      </c>
      <c r="D15" s="213" t="s">
        <v>79</v>
      </c>
      <c r="E15" s="213">
        <v>1</v>
      </c>
      <c r="F15" s="213"/>
      <c r="G15" s="213"/>
      <c r="H15" s="221"/>
      <c r="I15" s="223"/>
    </row>
    <row r="16" s="205" customFormat="1" ht="27" spans="1:9">
      <c r="A16" s="213">
        <v>12</v>
      </c>
      <c r="B16" s="213" t="s">
        <v>97</v>
      </c>
      <c r="C16" s="213" t="s">
        <v>98</v>
      </c>
      <c r="D16" s="213" t="s">
        <v>73</v>
      </c>
      <c r="E16" s="213">
        <v>1</v>
      </c>
      <c r="F16" s="213"/>
      <c r="G16" s="213"/>
      <c r="H16" s="221"/>
      <c r="I16" s="223"/>
    </row>
    <row r="17" s="205" customFormat="1" ht="13.5" spans="1:9">
      <c r="A17" s="213">
        <v>13</v>
      </c>
      <c r="B17" s="212" t="s">
        <v>99</v>
      </c>
      <c r="C17" s="213" t="s">
        <v>100</v>
      </c>
      <c r="D17" s="213" t="s">
        <v>71</v>
      </c>
      <c r="E17" s="213">
        <v>1</v>
      </c>
      <c r="F17" s="213"/>
      <c r="G17" s="213"/>
      <c r="H17" s="221"/>
      <c r="I17" s="223"/>
    </row>
    <row r="18" s="205" customFormat="1" ht="13.5" spans="1:9">
      <c r="A18" s="213">
        <v>14</v>
      </c>
      <c r="B18" s="219"/>
      <c r="C18" s="213" t="s">
        <v>101</v>
      </c>
      <c r="D18" s="213" t="s">
        <v>71</v>
      </c>
      <c r="E18" s="213">
        <v>10</v>
      </c>
      <c r="F18" s="213"/>
      <c r="G18" s="213"/>
      <c r="H18" s="221"/>
      <c r="I18" s="223"/>
    </row>
    <row r="19" s="205" customFormat="1" ht="13.5" spans="1:9">
      <c r="A19" s="213">
        <v>15</v>
      </c>
      <c r="B19" s="217" t="s">
        <v>102</v>
      </c>
      <c r="C19" s="222" t="s">
        <v>103</v>
      </c>
      <c r="D19" s="213" t="s">
        <v>71</v>
      </c>
      <c r="E19" s="213">
        <v>10</v>
      </c>
      <c r="F19" s="213"/>
      <c r="G19" s="213"/>
      <c r="H19" s="221"/>
      <c r="I19" s="223"/>
    </row>
    <row r="20" s="205" customFormat="1" ht="13.5" spans="1:9">
      <c r="A20" s="213">
        <v>16</v>
      </c>
      <c r="B20" s="212" t="s">
        <v>104</v>
      </c>
      <c r="C20" s="222" t="s">
        <v>105</v>
      </c>
      <c r="D20" s="213" t="s">
        <v>71</v>
      </c>
      <c r="E20" s="213">
        <v>1</v>
      </c>
      <c r="F20" s="213"/>
      <c r="G20" s="213"/>
      <c r="H20" s="221"/>
      <c r="I20" s="223"/>
    </row>
    <row r="21" s="205" customFormat="1" ht="13.5" spans="1:9">
      <c r="A21" s="213">
        <v>17</v>
      </c>
      <c r="B21" s="217"/>
      <c r="C21" s="222" t="s">
        <v>106</v>
      </c>
      <c r="D21" s="213" t="s">
        <v>71</v>
      </c>
      <c r="E21" s="213">
        <v>10</v>
      </c>
      <c r="F21" s="213"/>
      <c r="G21" s="213"/>
      <c r="H21" s="221"/>
      <c r="I21" s="223"/>
    </row>
    <row r="22" s="205" customFormat="1" ht="13.5" spans="1:9">
      <c r="A22" s="213">
        <v>18</v>
      </c>
      <c r="B22" s="217"/>
      <c r="C22" s="222" t="s">
        <v>107</v>
      </c>
      <c r="D22" s="213" t="s">
        <v>71</v>
      </c>
      <c r="E22" s="213">
        <v>10</v>
      </c>
      <c r="F22" s="213"/>
      <c r="G22" s="213"/>
      <c r="H22" s="221"/>
      <c r="I22" s="223"/>
    </row>
    <row r="23" s="205" customFormat="1" ht="13.5" spans="1:9">
      <c r="A23" s="213">
        <v>19</v>
      </c>
      <c r="B23" s="213" t="s">
        <v>108</v>
      </c>
      <c r="C23" s="222" t="s">
        <v>109</v>
      </c>
      <c r="D23" s="213" t="s">
        <v>79</v>
      </c>
      <c r="E23" s="213">
        <v>1</v>
      </c>
      <c r="F23" s="213"/>
      <c r="G23" s="213"/>
      <c r="H23" s="224"/>
      <c r="I23" s="223"/>
    </row>
    <row r="24" s="205" customFormat="1" ht="13.5" spans="1:9">
      <c r="A24" s="213">
        <v>20</v>
      </c>
      <c r="B24" s="213" t="s">
        <v>110</v>
      </c>
      <c r="C24" s="222"/>
      <c r="D24" s="213" t="s">
        <v>79</v>
      </c>
      <c r="E24" s="213">
        <v>1</v>
      </c>
      <c r="F24" s="213"/>
      <c r="G24" s="213"/>
      <c r="H24" s="221"/>
      <c r="I24" s="223"/>
    </row>
    <row r="25" s="205" customFormat="1" ht="13.5" spans="1:9">
      <c r="A25" s="213">
        <v>21</v>
      </c>
      <c r="B25" s="213" t="s">
        <v>111</v>
      </c>
      <c r="C25" s="222" t="s">
        <v>112</v>
      </c>
      <c r="D25" s="213" t="s">
        <v>113</v>
      </c>
      <c r="E25" s="213">
        <v>6</v>
      </c>
      <c r="F25" s="213"/>
      <c r="G25" s="213"/>
      <c r="H25" s="221"/>
      <c r="I25" s="223"/>
    </row>
    <row r="26" s="205" customFormat="1" ht="13.5" spans="1:9">
      <c r="A26" s="213">
        <v>22</v>
      </c>
      <c r="B26" s="213" t="s">
        <v>114</v>
      </c>
      <c r="C26" s="222" t="s">
        <v>115</v>
      </c>
      <c r="D26" s="213" t="s">
        <v>82</v>
      </c>
      <c r="E26" s="213">
        <v>300</v>
      </c>
      <c r="F26" s="213"/>
      <c r="G26" s="213"/>
      <c r="H26" s="221"/>
      <c r="I26" s="223"/>
    </row>
    <row r="27" s="205" customFormat="1" ht="13.5" spans="1:9">
      <c r="A27" s="225" t="s">
        <v>116</v>
      </c>
      <c r="B27" s="226"/>
      <c r="C27" s="227"/>
      <c r="D27" s="212"/>
      <c r="E27" s="212"/>
      <c r="F27" s="212"/>
      <c r="G27" s="212"/>
      <c r="H27" s="228"/>
      <c r="I27" s="229" t="s">
        <v>117</v>
      </c>
    </row>
    <row r="28" s="204" customFormat="1" ht="13.5" spans="1:9">
      <c r="A28" s="230" t="s">
        <v>118</v>
      </c>
      <c r="B28" s="231"/>
      <c r="C28" s="232"/>
      <c r="D28" s="230"/>
      <c r="E28" s="231"/>
      <c r="F28" s="231"/>
      <c r="G28" s="231"/>
      <c r="H28" s="231"/>
      <c r="I28" s="232"/>
    </row>
    <row r="29" s="204" customFormat="1" ht="13.5" spans="1:9">
      <c r="F29" s="233"/>
      <c r="G29" s="233"/>
      <c r="H29" s="233"/>
    </row>
    <row r="30" s="204" customFormat="1" ht="13.5" spans="1:9">
      <c r="F30" s="233"/>
      <c r="G30" s="233"/>
      <c r="H30" s="233"/>
    </row>
    <row r="31" s="204" customFormat="1" ht="13.5" spans="1:9">
      <c r="F31" s="233"/>
      <c r="G31" s="233"/>
      <c r="H31" s="233"/>
    </row>
  </sheetData>
  <mergeCells count="8">
    <mergeCell ref="A1:I1"/>
    <mergeCell ref="A27:C27"/>
    <mergeCell ref="A28:C28"/>
    <mergeCell ref="D28:I28"/>
    <mergeCell ref="A3:A5"/>
    <mergeCell ref="B3:B5"/>
    <mergeCell ref="B17:B18"/>
    <mergeCell ref="B20:B2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tabColor rgb="FFFF0000"/>
    <pageSetUpPr fitToPage="1"/>
  </sheetPr>
  <dimension ref="A1:S48"/>
  <sheetViews>
    <sheetView view="pageBreakPreview" zoomScale="115" zoomScaleNormal="100" workbookViewId="0">
      <selection activeCell="E10" sqref="E10"/>
    </sheetView>
  </sheetViews>
  <sheetFormatPr defaultColWidth="9" defaultRowHeight="14.25"/>
  <cols>
    <col min="1" max="1" width="7.16666666666667" customWidth="1"/>
    <col min="2" max="2" width="11.625" customWidth="1"/>
    <col min="3" max="3" width="7.05833333333333" customWidth="1"/>
    <col min="4" max="4" width="11.3" customWidth="1"/>
    <col min="5" max="5" width="14.5583333333333" style="168" customWidth="1"/>
    <col min="6" max="6" width="13.0416666666667" style="168" customWidth="1"/>
    <col min="7" max="7" width="9.23333333333333" style="168" customWidth="1"/>
    <col min="9" max="9" width="12.625"/>
  </cols>
  <sheetData>
    <row r="1" s="167" customFormat="1" ht="26.25" spans="1:19">
      <c r="A1" s="169" t="e">
        <f>#REF!</f>
        <v>#REF!</v>
      </c>
      <c r="B1" s="170"/>
      <c r="C1" s="170"/>
      <c r="D1" s="170"/>
      <c r="E1" s="170"/>
      <c r="F1" s="170"/>
      <c r="G1" s="171"/>
    </row>
    <row r="2" s="167" customFormat="1" ht="20" customHeight="1" spans="1:19">
      <c r="A2" s="172" t="s">
        <v>119</v>
      </c>
      <c r="B2" s="173"/>
      <c r="C2" s="174" t="e">
        <f>#REF!</f>
        <v>#REF!</v>
      </c>
      <c r="D2" s="174"/>
      <c r="E2" s="173" t="s">
        <v>120</v>
      </c>
      <c r="F2" s="174" t="s">
        <v>121</v>
      </c>
      <c r="G2" s="175" t="s">
        <v>122</v>
      </c>
      <c r="H2" s="176" t="s">
        <v>123</v>
      </c>
    </row>
    <row r="3" s="167" customFormat="1" ht="20" customHeight="1" spans="1:19">
      <c r="A3" s="177" t="s">
        <v>124</v>
      </c>
      <c r="B3" s="17"/>
      <c r="C3" s="178">
        <f>SUM(B6:B17)/A17</f>
        <v>3.69</v>
      </c>
      <c r="D3" s="178"/>
      <c r="E3" s="179" t="s">
        <v>125</v>
      </c>
      <c r="F3" s="178" t="s">
        <v>126</v>
      </c>
      <c r="G3" s="180" t="s">
        <v>127</v>
      </c>
      <c r="H3" s="176" t="s">
        <v>128</v>
      </c>
    </row>
    <row r="4" s="167" customFormat="1" ht="20" customHeight="1" spans="1:19">
      <c r="A4" s="177" t="s">
        <v>129</v>
      </c>
      <c r="B4" s="17"/>
      <c r="C4" s="181" t="e">
        <f>#REF!</f>
        <v>#REF!</v>
      </c>
      <c r="D4" s="181"/>
      <c r="E4" s="182" t="s">
        <v>130</v>
      </c>
      <c r="F4" s="183">
        <f>(15-9)/(19-8)</f>
        <v>0.545454545454545</v>
      </c>
      <c r="G4" s="184"/>
      <c r="J4" s="185" t="s">
        <v>131</v>
      </c>
      <c r="K4" s="186"/>
      <c r="L4" s="185" t="s">
        <v>132</v>
      </c>
      <c r="M4" s="186"/>
      <c r="N4" s="185" t="s">
        <v>133</v>
      </c>
      <c r="O4" s="186"/>
      <c r="P4" s="185" t="s">
        <v>134</v>
      </c>
      <c r="Q4" s="186"/>
      <c r="R4" s="185" t="s">
        <v>135</v>
      </c>
      <c r="S4" s="187"/>
    </row>
    <row r="5" s="167" customFormat="1" ht="36" customHeight="1" spans="1:19">
      <c r="A5" s="177" t="s">
        <v>136</v>
      </c>
      <c r="B5" s="19" t="s">
        <v>137</v>
      </c>
      <c r="C5" s="19" t="s">
        <v>138</v>
      </c>
      <c r="D5" s="19" t="s">
        <v>139</v>
      </c>
      <c r="E5" s="19" t="s">
        <v>140</v>
      </c>
      <c r="F5" s="19" t="s">
        <v>141</v>
      </c>
      <c r="G5" s="188" t="s">
        <v>142</v>
      </c>
      <c r="J5" s="177" t="s">
        <v>136</v>
      </c>
      <c r="K5" s="19" t="s">
        <v>143</v>
      </c>
      <c r="L5" s="177" t="s">
        <v>136</v>
      </c>
      <c r="M5" s="19" t="s">
        <v>143</v>
      </c>
      <c r="N5" s="177" t="s">
        <v>136</v>
      </c>
      <c r="O5" s="19" t="s">
        <v>143</v>
      </c>
      <c r="P5" s="177" t="s">
        <v>136</v>
      </c>
      <c r="Q5" s="19" t="s">
        <v>143</v>
      </c>
      <c r="R5" s="177" t="s">
        <v>136</v>
      </c>
      <c r="S5" s="19" t="s">
        <v>143</v>
      </c>
    </row>
    <row r="6" s="167" customFormat="1" ht="20" customHeight="1" spans="1:19">
      <c r="A6" s="189">
        <v>1</v>
      </c>
      <c r="B6" s="190">
        <v>2.77</v>
      </c>
      <c r="C6" s="191">
        <v>31</v>
      </c>
      <c r="D6" s="192" t="e">
        <f>C2*C4*B6*C6</f>
        <v>#REF!</v>
      </c>
      <c r="E6" s="193">
        <f t="shared" ref="E6:E17" si="0">SUM(K6,M6,O6,Q6,S6)</f>
        <v>0</v>
      </c>
      <c r="F6" s="192">
        <f>E6*F4</f>
        <v>0</v>
      </c>
      <c r="G6" s="194" t="e">
        <f>MIN(0.85,F6/D6)</f>
        <v>#REF!</v>
      </c>
      <c r="J6" s="189">
        <v>1</v>
      </c>
      <c r="K6" s="193"/>
      <c r="L6" s="189">
        <v>1</v>
      </c>
      <c r="M6" s="193"/>
      <c r="N6" s="189">
        <v>1</v>
      </c>
      <c r="O6" s="193"/>
      <c r="P6" s="189">
        <v>1</v>
      </c>
      <c r="Q6" s="193"/>
      <c r="R6" s="189">
        <v>1</v>
      </c>
      <c r="S6" s="193"/>
    </row>
    <row r="7" s="167" customFormat="1" ht="20" customHeight="1" spans="1:19">
      <c r="A7" s="189">
        <v>2</v>
      </c>
      <c r="B7" s="190">
        <v>2.54</v>
      </c>
      <c r="C7" s="191">
        <v>28</v>
      </c>
      <c r="D7" s="192" t="e">
        <f>C2*C4*B7*C7</f>
        <v>#REF!</v>
      </c>
      <c r="E7" s="193">
        <f t="shared" si="0"/>
        <v>0</v>
      </c>
      <c r="F7" s="192">
        <f>E7*F4</f>
        <v>0</v>
      </c>
      <c r="G7" s="194" t="e">
        <f t="shared" ref="G6:G17" si="1">MIN(0.85,F7/D7)</f>
        <v>#REF!</v>
      </c>
      <c r="I7" s="195"/>
      <c r="J7" s="189">
        <v>2</v>
      </c>
      <c r="K7" s="193"/>
      <c r="L7" s="189">
        <v>2</v>
      </c>
      <c r="M7" s="193"/>
      <c r="N7" s="189">
        <v>2</v>
      </c>
      <c r="O7" s="193"/>
      <c r="P7" s="189">
        <v>2</v>
      </c>
      <c r="Q7" s="193"/>
      <c r="R7" s="189">
        <v>2</v>
      </c>
      <c r="S7" s="193"/>
    </row>
    <row r="8" s="167" customFormat="1" ht="20" customHeight="1" spans="1:19">
      <c r="A8" s="189">
        <v>3</v>
      </c>
      <c r="B8" s="190">
        <v>2.7</v>
      </c>
      <c r="C8" s="191">
        <v>31</v>
      </c>
      <c r="D8" s="192" t="e">
        <f>C2*C4*B8*C8</f>
        <v>#REF!</v>
      </c>
      <c r="E8" s="193">
        <f t="shared" si="0"/>
        <v>0</v>
      </c>
      <c r="F8" s="192">
        <f>E8*F4</f>
        <v>0</v>
      </c>
      <c r="G8" s="194" t="e">
        <f t="shared" si="1"/>
        <v>#REF!</v>
      </c>
      <c r="I8" s="195"/>
      <c r="J8" s="189">
        <v>3</v>
      </c>
      <c r="K8" s="193"/>
      <c r="L8" s="189">
        <v>3</v>
      </c>
      <c r="M8" s="193"/>
      <c r="N8" s="189">
        <v>3</v>
      </c>
      <c r="O8" s="193"/>
      <c r="P8" s="189">
        <v>3</v>
      </c>
      <c r="Q8" s="193"/>
      <c r="R8" s="189">
        <v>3</v>
      </c>
      <c r="S8" s="193"/>
    </row>
    <row r="9" s="167" customFormat="1" ht="20" customHeight="1" spans="1:19">
      <c r="A9" s="189">
        <v>4</v>
      </c>
      <c r="B9" s="190">
        <v>3.23</v>
      </c>
      <c r="C9" s="191">
        <v>30</v>
      </c>
      <c r="D9" s="192" t="e">
        <f>C2*C4*B9*C9</f>
        <v>#REF!</v>
      </c>
      <c r="E9" s="193">
        <f t="shared" si="0"/>
        <v>0</v>
      </c>
      <c r="F9" s="192">
        <f>E9*F4</f>
        <v>0</v>
      </c>
      <c r="G9" s="194" t="e">
        <f t="shared" si="1"/>
        <v>#REF!</v>
      </c>
      <c r="I9" s="195"/>
      <c r="J9" s="189">
        <v>4</v>
      </c>
      <c r="K9" s="193"/>
      <c r="L9" s="189">
        <v>4</v>
      </c>
      <c r="M9" s="193"/>
      <c r="N9" s="189">
        <v>4</v>
      </c>
      <c r="O9" s="193"/>
      <c r="P9" s="189">
        <v>4</v>
      </c>
      <c r="Q9" s="193"/>
      <c r="R9" s="189">
        <v>4</v>
      </c>
      <c r="S9" s="193"/>
    </row>
    <row r="10" s="167" customFormat="1" ht="20" customHeight="1" spans="1:19">
      <c r="A10" s="189">
        <v>5</v>
      </c>
      <c r="B10" s="190">
        <v>3.92</v>
      </c>
      <c r="C10" s="191">
        <v>31</v>
      </c>
      <c r="D10" s="192" t="e">
        <f>C2*C4*B10*C10</f>
        <v>#REF!</v>
      </c>
      <c r="E10" s="193">
        <f t="shared" si="0"/>
        <v>0</v>
      </c>
      <c r="F10" s="192">
        <f>E10*F4</f>
        <v>0</v>
      </c>
      <c r="G10" s="194" t="e">
        <f t="shared" si="1"/>
        <v>#REF!</v>
      </c>
      <c r="I10" s="195"/>
      <c r="J10" s="189">
        <v>5</v>
      </c>
      <c r="K10" s="193"/>
      <c r="L10" s="189">
        <v>5</v>
      </c>
      <c r="M10" s="193"/>
      <c r="N10" s="189">
        <v>5</v>
      </c>
      <c r="O10" s="193"/>
      <c r="P10" s="189">
        <v>5</v>
      </c>
      <c r="Q10" s="193"/>
      <c r="R10" s="189">
        <v>5</v>
      </c>
      <c r="S10" s="193"/>
    </row>
    <row r="11" s="167" customFormat="1" ht="20" customHeight="1" spans="1:19">
      <c r="A11" s="189">
        <v>6</v>
      </c>
      <c r="B11" s="190">
        <v>4.32</v>
      </c>
      <c r="C11" s="191">
        <v>30</v>
      </c>
      <c r="D11" s="192" t="e">
        <f>C2*C4*B11*C11</f>
        <v>#REF!</v>
      </c>
      <c r="E11" s="193">
        <f t="shared" si="0"/>
        <v>0</v>
      </c>
      <c r="F11" s="192">
        <f>E11*F4</f>
        <v>0</v>
      </c>
      <c r="G11" s="194" t="e">
        <f t="shared" si="1"/>
        <v>#REF!</v>
      </c>
      <c r="I11" s="195"/>
      <c r="J11" s="189">
        <v>6</v>
      </c>
      <c r="K11" s="193"/>
      <c r="L11" s="189">
        <v>6</v>
      </c>
      <c r="M11" s="193"/>
      <c r="N11" s="189">
        <v>6</v>
      </c>
      <c r="O11" s="193"/>
      <c r="P11" s="189">
        <v>6</v>
      </c>
      <c r="Q11" s="193"/>
      <c r="R11" s="189">
        <v>6</v>
      </c>
      <c r="S11" s="193"/>
    </row>
    <row r="12" s="167" customFormat="1" ht="20" customHeight="1" spans="1:19">
      <c r="A12" s="189">
        <v>7</v>
      </c>
      <c r="B12" s="190">
        <v>4.8</v>
      </c>
      <c r="C12" s="191">
        <v>31</v>
      </c>
      <c r="D12" s="192" t="e">
        <f>C2*C4*B12*C12</f>
        <v>#REF!</v>
      </c>
      <c r="E12" s="193">
        <f t="shared" si="0"/>
        <v>0</v>
      </c>
      <c r="F12" s="192">
        <f>E12*F4</f>
        <v>0</v>
      </c>
      <c r="G12" s="194" t="e">
        <f t="shared" si="1"/>
        <v>#REF!</v>
      </c>
      <c r="J12" s="189">
        <v>7</v>
      </c>
      <c r="K12" s="193"/>
      <c r="L12" s="189">
        <v>7</v>
      </c>
      <c r="M12" s="193"/>
      <c r="N12" s="189">
        <v>7</v>
      </c>
      <c r="O12" s="193"/>
      <c r="P12" s="189">
        <v>7</v>
      </c>
      <c r="Q12" s="193"/>
      <c r="R12" s="189">
        <v>7</v>
      </c>
      <c r="S12" s="193"/>
    </row>
    <row r="13" s="167" customFormat="1" ht="20" customHeight="1" spans="1:19">
      <c r="A13" s="189">
        <v>8</v>
      </c>
      <c r="B13" s="190">
        <v>4.54</v>
      </c>
      <c r="C13" s="191">
        <v>31</v>
      </c>
      <c r="D13" s="192" t="e">
        <f>C2*C4*B13*C13</f>
        <v>#REF!</v>
      </c>
      <c r="E13" s="193">
        <f t="shared" si="0"/>
        <v>0</v>
      </c>
      <c r="F13" s="192">
        <f>E13*F4</f>
        <v>0</v>
      </c>
      <c r="G13" s="194" t="e">
        <f t="shared" si="1"/>
        <v>#REF!</v>
      </c>
      <c r="J13" s="189">
        <v>8</v>
      </c>
      <c r="K13" s="193"/>
      <c r="L13" s="189">
        <v>8</v>
      </c>
      <c r="M13" s="193"/>
      <c r="N13" s="189">
        <v>8</v>
      </c>
      <c r="O13" s="193"/>
      <c r="P13" s="189">
        <v>8</v>
      </c>
      <c r="Q13" s="193"/>
      <c r="R13" s="189">
        <v>8</v>
      </c>
      <c r="S13" s="193"/>
    </row>
    <row r="14" s="167" customFormat="1" ht="20" customHeight="1" spans="1:19">
      <c r="A14" s="189">
        <v>9</v>
      </c>
      <c r="B14" s="190">
        <v>4.33</v>
      </c>
      <c r="C14" s="191">
        <v>30</v>
      </c>
      <c r="D14" s="192" t="e">
        <f>C2*C4*B14*C14</f>
        <v>#REF!</v>
      </c>
      <c r="E14" s="193">
        <f t="shared" si="0"/>
        <v>0</v>
      </c>
      <c r="F14" s="192">
        <f>E14*F4</f>
        <v>0</v>
      </c>
      <c r="G14" s="194" t="e">
        <f t="shared" si="1"/>
        <v>#REF!</v>
      </c>
      <c r="J14" s="189">
        <v>9</v>
      </c>
      <c r="K14" s="193"/>
      <c r="L14" s="189">
        <v>9</v>
      </c>
      <c r="M14" s="193"/>
      <c r="N14" s="189">
        <v>9</v>
      </c>
      <c r="O14" s="193"/>
      <c r="P14" s="189">
        <v>9</v>
      </c>
      <c r="Q14" s="193"/>
      <c r="R14" s="189">
        <v>9</v>
      </c>
      <c r="S14" s="193"/>
    </row>
    <row r="15" s="167" customFormat="1" ht="20" customHeight="1" spans="1:19">
      <c r="A15" s="189">
        <v>10</v>
      </c>
      <c r="B15" s="190">
        <v>4.12</v>
      </c>
      <c r="C15" s="191">
        <v>31</v>
      </c>
      <c r="D15" s="192" t="e">
        <f>C2*C4*B15*C15</f>
        <v>#REF!</v>
      </c>
      <c r="E15" s="193">
        <f t="shared" si="0"/>
        <v>0</v>
      </c>
      <c r="F15" s="192">
        <f>E15*F4</f>
        <v>0</v>
      </c>
      <c r="G15" s="194" t="e">
        <f t="shared" si="1"/>
        <v>#REF!</v>
      </c>
      <c r="J15" s="189">
        <v>10</v>
      </c>
      <c r="K15" s="193"/>
      <c r="L15" s="189">
        <v>10</v>
      </c>
      <c r="M15" s="193"/>
      <c r="N15" s="189">
        <v>10</v>
      </c>
      <c r="O15" s="193"/>
      <c r="P15" s="189">
        <v>10</v>
      </c>
      <c r="Q15" s="193"/>
      <c r="R15" s="189">
        <v>10</v>
      </c>
      <c r="S15" s="193"/>
    </row>
    <row r="16" s="167" customFormat="1" ht="20" customHeight="1" spans="1:19">
      <c r="A16" s="189">
        <v>11</v>
      </c>
      <c r="B16" s="190">
        <v>3.74</v>
      </c>
      <c r="C16" s="191">
        <v>30</v>
      </c>
      <c r="D16" s="192" t="e">
        <f>C2*C4*B16*C16</f>
        <v>#REF!</v>
      </c>
      <c r="E16" s="193">
        <f t="shared" si="0"/>
        <v>0</v>
      </c>
      <c r="F16" s="192">
        <f>E16*F4</f>
        <v>0</v>
      </c>
      <c r="G16" s="194" t="e">
        <f t="shared" si="1"/>
        <v>#REF!</v>
      </c>
      <c r="J16" s="189">
        <v>11</v>
      </c>
      <c r="K16" s="193"/>
      <c r="L16" s="189">
        <v>11</v>
      </c>
      <c r="M16" s="193"/>
      <c r="N16" s="189">
        <v>11</v>
      </c>
      <c r="O16" s="193"/>
      <c r="P16" s="189">
        <v>11</v>
      </c>
      <c r="Q16" s="193"/>
      <c r="R16" s="189">
        <v>11</v>
      </c>
      <c r="S16" s="193"/>
    </row>
    <row r="17" s="167" customFormat="1" ht="20" customHeight="1" spans="1:19">
      <c r="A17" s="189">
        <v>12</v>
      </c>
      <c r="B17" s="190">
        <v>3.27</v>
      </c>
      <c r="C17" s="191">
        <v>31</v>
      </c>
      <c r="D17" s="192" t="e">
        <f>C2*C4*B17*C17</f>
        <v>#REF!</v>
      </c>
      <c r="E17" s="193">
        <f t="shared" si="0"/>
        <v>0</v>
      </c>
      <c r="F17" s="192">
        <f>E17*F4</f>
        <v>0</v>
      </c>
      <c r="G17" s="194" t="e">
        <f t="shared" si="1"/>
        <v>#REF!</v>
      </c>
      <c r="J17" s="189">
        <v>12</v>
      </c>
      <c r="K17" s="193"/>
      <c r="L17" s="189">
        <v>12</v>
      </c>
      <c r="M17" s="193"/>
      <c r="N17" s="189">
        <v>12</v>
      </c>
      <c r="O17" s="193"/>
      <c r="P17" s="189">
        <v>12</v>
      </c>
      <c r="Q17" s="193"/>
      <c r="R17" s="189">
        <v>12</v>
      </c>
      <c r="S17" s="193"/>
    </row>
    <row r="18" s="167" customFormat="1" ht="20" customHeight="1" spans="1:19">
      <c r="A18" s="177" t="s">
        <v>144</v>
      </c>
      <c r="B18" s="17"/>
      <c r="C18" s="196">
        <f>C19/A17</f>
        <v>30.4166666666667</v>
      </c>
      <c r="D18" s="196" t="e">
        <f>D19/A17</f>
        <v>#REF!</v>
      </c>
      <c r="E18" s="196">
        <f>E19/A17</f>
        <v>0</v>
      </c>
      <c r="F18" s="19" t="s">
        <v>145</v>
      </c>
      <c r="G18" s="197" t="e" cm="1">
        <f t="array" ref="G18">ROUND(SUMPRODUCT(G6:G17,D6:D17)/SUM(D6:D17),4)</f>
        <v>#REF!</v>
      </c>
    </row>
    <row r="19" s="167" customFormat="1" ht="20" customHeight="1" spans="1:19">
      <c r="A19" s="198" t="s">
        <v>146</v>
      </c>
      <c r="B19" s="199"/>
      <c r="C19" s="200">
        <f>SUM(C6:C17)</f>
        <v>365</v>
      </c>
      <c r="D19" s="200" t="e">
        <f>SUM(D6:D17)</f>
        <v>#REF!</v>
      </c>
      <c r="E19" s="201">
        <f>SUM(E6:E17)</f>
        <v>0</v>
      </c>
      <c r="F19" s="199"/>
      <c r="G19" s="202"/>
      <c r="H19" s="176"/>
      <c r="L19" s="176"/>
      <c r="N19" s="176"/>
    </row>
    <row r="20" customFormat="1" spans="1:19">
      <c r="E20" s="168"/>
      <c r="F20" s="168"/>
      <c r="G20" s="168"/>
      <c r="H20" s="176" t="s">
        <v>147</v>
      </c>
      <c r="I20" s="167"/>
      <c r="J20" s="167"/>
      <c r="K20" s="167"/>
      <c r="L20" s="176" t="s">
        <v>148</v>
      </c>
      <c r="M20" s="167"/>
      <c r="N20" s="176" t="s">
        <v>149</v>
      </c>
    </row>
    <row r="21" customFormat="1" spans="1:19">
      <c r="E21" s="168"/>
      <c r="F21" s="168"/>
      <c r="G21" s="168"/>
      <c r="H21" t="s">
        <v>150</v>
      </c>
      <c r="L21" t="s">
        <v>151</v>
      </c>
      <c r="N21" s="203" t="s">
        <v>152</v>
      </c>
    </row>
    <row r="22" customFormat="1" spans="1:19">
      <c r="A22" t="s">
        <v>153</v>
      </c>
      <c r="E22" s="168"/>
      <c r="F22" s="168"/>
      <c r="G22" s="168"/>
      <c r="H22" t="s">
        <v>154</v>
      </c>
      <c r="L22" t="s">
        <v>155</v>
      </c>
      <c r="N22" s="203" t="s">
        <v>156</v>
      </c>
    </row>
    <row r="23" customFormat="1" spans="1:19">
      <c r="E23" s="168"/>
      <c r="F23" s="168"/>
      <c r="G23" s="168"/>
      <c r="L23" t="s">
        <v>157</v>
      </c>
      <c r="N23" s="203"/>
    </row>
    <row r="24" customFormat="1" spans="1:19">
      <c r="A24" t="s">
        <v>158</v>
      </c>
      <c r="E24" s="168"/>
      <c r="F24" s="168"/>
      <c r="G24" s="168"/>
    </row>
    <row r="25" customFormat="1" spans="1:19">
      <c r="A25" t="s">
        <v>159</v>
      </c>
      <c r="E25" s="168"/>
      <c r="F25" s="168"/>
      <c r="G25" s="168"/>
    </row>
    <row r="26" customFormat="1" spans="1:19">
      <c r="A26" t="s">
        <v>160</v>
      </c>
      <c r="E26" s="168"/>
      <c r="F26" s="168"/>
      <c r="G26" s="168"/>
    </row>
    <row r="27" customFormat="1" spans="1:19">
      <c r="E27" s="168"/>
      <c r="F27" s="168"/>
      <c r="G27" s="203"/>
    </row>
    <row r="28" customFormat="1" spans="1:19">
      <c r="E28" s="168"/>
      <c r="F28" s="168"/>
      <c r="G28" s="203" t="s">
        <v>161</v>
      </c>
    </row>
    <row r="29" customFormat="1" spans="1:19">
      <c r="E29" s="168"/>
      <c r="F29" s="168"/>
      <c r="G29" s="203"/>
    </row>
    <row r="30" customFormat="1" spans="1:19">
      <c r="E30" s="168"/>
      <c r="F30" s="168"/>
      <c r="G30" s="203" t="s">
        <v>162</v>
      </c>
    </row>
    <row r="31" customFormat="1" spans="1:19">
      <c r="E31" s="168"/>
      <c r="F31" s="168"/>
      <c r="G31" s="203" t="s">
        <v>163</v>
      </c>
    </row>
    <row r="32" customFormat="1" spans="1:19">
      <c r="E32" s="168"/>
      <c r="F32" s="168"/>
      <c r="G32" s="203" t="s">
        <v>164</v>
      </c>
    </row>
    <row r="33" customFormat="1" spans="5:7">
      <c r="E33" s="168"/>
      <c r="F33" s="168"/>
      <c r="G33" s="203" t="s">
        <v>165</v>
      </c>
    </row>
    <row r="34" customFormat="1" spans="5:7">
      <c r="E34" s="168"/>
      <c r="F34" s="168"/>
      <c r="G34" s="203" t="s">
        <v>166</v>
      </c>
    </row>
    <row r="35" customFormat="1" spans="5:7">
      <c r="E35" s="168"/>
      <c r="F35" s="168"/>
      <c r="G35" s="203" t="s">
        <v>167</v>
      </c>
    </row>
    <row r="36" customFormat="1" spans="5:7">
      <c r="E36" s="168"/>
      <c r="F36" s="168"/>
      <c r="G36" s="203" t="s">
        <v>168</v>
      </c>
    </row>
    <row r="37" customFormat="1" spans="5:7">
      <c r="E37" s="168"/>
      <c r="F37" s="168"/>
      <c r="G37" s="203" t="s">
        <v>169</v>
      </c>
    </row>
    <row r="38" customFormat="1" spans="5:7">
      <c r="E38" s="168"/>
      <c r="F38" s="168"/>
      <c r="G38" s="203"/>
    </row>
    <row r="39" customFormat="1" spans="5:7">
      <c r="E39" s="168"/>
      <c r="F39" s="168"/>
      <c r="G39" s="203"/>
    </row>
    <row r="40" customFormat="1" spans="5:7">
      <c r="E40" s="168"/>
      <c r="F40" s="168"/>
      <c r="G40" s="203"/>
    </row>
    <row r="41" customFormat="1" spans="5:7">
      <c r="E41" s="168"/>
      <c r="F41" s="168"/>
      <c r="G41" s="203"/>
    </row>
    <row r="42" customFormat="1" spans="5:7">
      <c r="E42" s="168"/>
      <c r="F42" s="168"/>
      <c r="G42" s="203"/>
    </row>
    <row r="43" customFormat="1" spans="5:7">
      <c r="E43" s="168"/>
      <c r="F43" s="168"/>
      <c r="G43" s="203"/>
    </row>
    <row r="44" customFormat="1" spans="5:7">
      <c r="E44" s="168"/>
      <c r="F44" s="168"/>
      <c r="G44" s="203"/>
    </row>
    <row r="45" customFormat="1" spans="5:7">
      <c r="E45" s="168"/>
      <c r="F45" s="168"/>
      <c r="G45" s="203"/>
    </row>
    <row r="46" customFormat="1" spans="5:7">
      <c r="E46" s="168"/>
      <c r="F46" s="168"/>
      <c r="G46" s="203"/>
    </row>
    <row r="47" customFormat="1" spans="5:7">
      <c r="E47" s="168"/>
      <c r="F47" s="168"/>
      <c r="G47" s="203"/>
    </row>
    <row r="48" customFormat="1" spans="5:7">
      <c r="E48" s="168"/>
      <c r="F48" s="168"/>
      <c r="G48" s="203"/>
    </row>
  </sheetData>
  <mergeCells count="17">
    <mergeCell ref="A1:G1"/>
    <mergeCell ref="A2:B2"/>
    <mergeCell ref="C2:D2"/>
    <mergeCell ref="A3:B3"/>
    <mergeCell ref="C3:D3"/>
    <mergeCell ref="A4:B4"/>
    <mergeCell ref="C4:D4"/>
    <mergeCell ref="F4:G4"/>
    <mergeCell ref="J4:K4"/>
    <mergeCell ref="L4:M4"/>
    <mergeCell ref="N4:O4"/>
    <mergeCell ref="P4:Q4"/>
    <mergeCell ref="R4:S4"/>
    <mergeCell ref="A18:B18"/>
    <mergeCell ref="A19:B19"/>
    <mergeCell ref="F18:F19"/>
    <mergeCell ref="G18:G19"/>
  </mergeCells>
  <printOptions horizontalCentered="1"/>
  <pageMargins left="0.25" right="0.25" top="0.75" bottom="0.75" header="0.3" footer="0.3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AM108"/>
  <sheetViews>
    <sheetView zoomScale="85" zoomScaleNormal="85" topLeftCell="B1" workbookViewId="0">
      <selection activeCell="J2" sqref="J2"/>
    </sheetView>
  </sheetViews>
  <sheetFormatPr defaultColWidth="9" defaultRowHeight="14.25"/>
  <cols>
    <col min="1" max="1" width="2.2" style="5" customWidth="1"/>
    <col min="2" max="2" width="14.85" style="6" customWidth="1"/>
    <col min="3" max="3" width="17.05" style="7" customWidth="1"/>
    <col min="4" max="4" width="12.925" style="3" customWidth="1"/>
    <col min="5" max="5" width="20.9333333333333" style="3" customWidth="1"/>
    <col min="6" max="6" width="22.0333333333333" style="3" customWidth="1"/>
    <col min="7" max="8" width="11.925" style="3" customWidth="1"/>
    <col min="9" max="9" width="13.125" style="3" customWidth="1"/>
    <col min="10" max="24" width="11.925" style="3" customWidth="1"/>
    <col min="25" max="29" width="11.925" style="3" hidden="1" customWidth="1"/>
    <col min="30" max="30" width="11.925" style="3" customWidth="1"/>
    <col min="31" max="31" width="10" style="3" customWidth="1"/>
    <col min="32" max="32" width="8.125" style="3" customWidth="1"/>
    <col min="33" max="33" width="8.7" style="3" customWidth="1"/>
    <col min="34" max="35" width="8.3" style="3" customWidth="1"/>
    <col min="36" max="37" width="6.5" style="3" customWidth="1"/>
    <col min="38" max="16384" width="9" style="3"/>
  </cols>
  <sheetData>
    <row r="1" s="1" customFormat="1" ht="43" customHeight="1" spans="1:38">
      <c r="B1" s="8" t="e">
        <f>#REF!</f>
        <v>#REF!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/>
      <c r="Y1" s="9"/>
      <c r="Z1" s="9"/>
      <c r="AA1" s="9"/>
      <c r="AB1" s="9"/>
      <c r="AC1" s="9"/>
      <c r="AD1" s="9"/>
      <c r="AE1" s="10"/>
    </row>
    <row r="2" s="1" customFormat="1" ht="30" customHeight="1" spans="1:38">
      <c r="B2" s="11"/>
      <c r="C2" s="12"/>
      <c r="D2" s="13" t="s">
        <v>170</v>
      </c>
      <c r="E2" s="14"/>
      <c r="F2" s="15"/>
      <c r="G2" s="16" t="e">
        <f>#REF!</f>
        <v>#REF!</v>
      </c>
      <c r="H2" s="17" t="s">
        <v>171</v>
      </c>
      <c r="I2" s="17"/>
      <c r="J2" s="18" t="e">
        <f>#REF!/10000</f>
        <v>#REF!</v>
      </c>
      <c r="K2" s="19" t="s">
        <v>172</v>
      </c>
      <c r="L2" s="20" t="e">
        <f>J2/1.09</f>
        <v>#REF!</v>
      </c>
      <c r="M2" s="19" t="s">
        <v>173</v>
      </c>
      <c r="N2" s="20" t="e">
        <f>J2-L2</f>
        <v>#REF!</v>
      </c>
      <c r="O2" s="21"/>
      <c r="P2" s="22" t="s">
        <v>174</v>
      </c>
      <c r="Q2" s="23"/>
      <c r="R2" s="24" t="e">
        <f>IRR(D56:X56,0.1)</f>
        <v>#VALUE!</v>
      </c>
      <c r="S2" s="22" t="s">
        <v>175</v>
      </c>
      <c r="T2" s="23"/>
      <c r="U2" s="24" t="e">
        <f>IRR(D62:X62,0.1)</f>
        <v>#VALUE!</v>
      </c>
      <c r="V2" s="23" t="s">
        <v>176</v>
      </c>
      <c r="W2" s="25" t="e">
        <f>(O36+Q36+R36)/D36</f>
        <v>#REF!</v>
      </c>
      <c r="X2" s="7"/>
      <c r="Y2" s="7"/>
      <c r="Z2" s="7"/>
      <c r="AA2" s="7"/>
      <c r="AB2" s="7"/>
      <c r="AC2" s="7"/>
      <c r="AD2" s="7"/>
      <c r="AE2" s="26"/>
      <c r="AF2" s="26"/>
      <c r="AG2" s="27"/>
    </row>
    <row r="3" s="1" customFormat="1" ht="30" customHeight="1" spans="1:38">
      <c r="B3" s="28"/>
      <c r="C3" s="29"/>
      <c r="D3" s="13" t="s">
        <v>177</v>
      </c>
      <c r="E3" s="14"/>
      <c r="F3" s="15"/>
      <c r="G3" s="30" t="e">
        <f>#REF!</f>
        <v>#REF!</v>
      </c>
      <c r="H3" s="17" t="s">
        <v>178</v>
      </c>
      <c r="I3" s="17"/>
      <c r="J3" s="31">
        <v>365</v>
      </c>
      <c r="K3" s="17" t="s">
        <v>179</v>
      </c>
      <c r="L3" s="16" t="e">
        <f>L5</f>
        <v>#REF!</v>
      </c>
      <c r="M3" s="32" t="s">
        <v>180</v>
      </c>
      <c r="N3" s="20" t="e">
        <f>M36</f>
        <v>#REF!</v>
      </c>
      <c r="O3" s="33"/>
      <c r="P3" s="23" t="s">
        <v>181</v>
      </c>
      <c r="Q3" s="23"/>
      <c r="R3" s="34" t="e">
        <f>MATCH(0,E57:X57,1)+INDEX(E57:X57,MATCH(0,E57:X57,1))*-1/INDEX(E56:X56,MATCH(0,E57:X57,1)+1)</f>
        <v>#N/A</v>
      </c>
      <c r="S3" s="23" t="s">
        <v>181</v>
      </c>
      <c r="T3" s="23"/>
      <c r="U3" s="34" t="e">
        <f>MATCH(0,E63:X63,1)+INDEX(E63:X63,MATCH(0,E63:X63,1))*-1/INDEX(E62:X62,MATCH(0,E63:X63,1)+1)</f>
        <v>#N/A</v>
      </c>
      <c r="V3" s="23" t="s">
        <v>182</v>
      </c>
      <c r="W3" s="35" t="e">
        <f>(T36+S36)/S36</f>
        <v>#REF!</v>
      </c>
      <c r="X3" s="36" t="s">
        <v>183</v>
      </c>
      <c r="Y3" s="7"/>
      <c r="Z3" s="7"/>
      <c r="AA3" s="7"/>
      <c r="AB3" s="7"/>
      <c r="AC3" s="7"/>
      <c r="AD3" s="7"/>
      <c r="AE3" s="26"/>
      <c r="AF3" s="26"/>
      <c r="AG3" s="27"/>
    </row>
    <row r="4" s="1" customFormat="1" ht="38" customHeight="1" spans="1:38">
      <c r="B4" s="28"/>
      <c r="C4" s="29"/>
      <c r="D4" s="13" t="s">
        <v>129</v>
      </c>
      <c r="E4" s="14"/>
      <c r="F4" s="15"/>
      <c r="G4" s="37" t="e">
        <f>#REF!</f>
        <v>#REF!</v>
      </c>
      <c r="H4" s="17" t="s">
        <v>184</v>
      </c>
      <c r="I4" s="17"/>
      <c r="J4" s="16">
        <v>3.69</v>
      </c>
      <c r="K4" s="17" t="s">
        <v>185</v>
      </c>
      <c r="L4" s="24">
        <v>0.035</v>
      </c>
      <c r="M4" s="19" t="s">
        <v>186</v>
      </c>
      <c r="N4" s="20" t="e">
        <f>G2*0.25*1000/10000*1.5</f>
        <v>#REF!</v>
      </c>
      <c r="O4" s="33"/>
      <c r="P4" s="23" t="s">
        <v>187</v>
      </c>
      <c r="Q4" s="23"/>
      <c r="R4" s="34" t="e">
        <f>MATCH(0,E61:X61,1)+INDEX(E61:X61,MATCH(0,E61:X61,1))*-1/INDEX(E60:X60,MATCH(0,E61:X61,1)+1)</f>
        <v>#N/A</v>
      </c>
      <c r="S4" s="23" t="s">
        <v>187</v>
      </c>
      <c r="T4" s="23"/>
      <c r="U4" s="34" t="e">
        <f>MATCH(0,E66:X66,1)+INDEX(E66:X66,MATCH(0,E66:X66,1))*-1/INDEX(E65:X65,MATCH(0,E66:X66,1)+1)</f>
        <v>#N/A</v>
      </c>
      <c r="V4" s="38" t="s">
        <v>188</v>
      </c>
      <c r="W4" s="35" t="e">
        <f>(V36+O36+S36)/(AD46+AD48)</f>
        <v>#REF!</v>
      </c>
      <c r="X4" s="7"/>
      <c r="Y4" s="7"/>
      <c r="Z4" s="7"/>
      <c r="AA4" s="7"/>
      <c r="AB4" s="7"/>
      <c r="AC4" s="7"/>
      <c r="AD4" s="7"/>
      <c r="AE4" s="26"/>
      <c r="AF4" s="26"/>
      <c r="AG4" s="27"/>
    </row>
    <row r="5" s="1" customFormat="1" ht="36" customHeight="1" spans="1:38">
      <c r="B5" s="39"/>
      <c r="C5" s="40"/>
      <c r="D5" s="13" t="s">
        <v>189</v>
      </c>
      <c r="E5" s="14"/>
      <c r="F5" s="15"/>
      <c r="G5" s="16">
        <f>0.36</f>
        <v>0.36</v>
      </c>
      <c r="H5" s="17" t="s">
        <v>190</v>
      </c>
      <c r="I5" s="17"/>
      <c r="J5" s="41" t="e">
        <f>#REF!</f>
        <v>#REF!</v>
      </c>
      <c r="K5" s="17" t="s">
        <v>191</v>
      </c>
      <c r="L5" s="16" t="e">
        <f>#REF!</f>
        <v>#REF!</v>
      </c>
      <c r="M5" s="19" t="s">
        <v>192</v>
      </c>
      <c r="N5" s="20" t="e">
        <f>G2*0.25*1000/10000*1.5/1.13</f>
        <v>#REF!</v>
      </c>
      <c r="O5" s="33"/>
      <c r="P5" s="23" t="s">
        <v>193</v>
      </c>
      <c r="Q5" s="23"/>
      <c r="R5" s="34" t="e">
        <f>NPV(6%,D56:X56)</f>
        <v>#REF!</v>
      </c>
      <c r="S5" s="23" t="s">
        <v>193</v>
      </c>
      <c r="T5" s="23"/>
      <c r="U5" s="34" t="e">
        <f>NPV(6%,D62:X62)</f>
        <v>#REF!</v>
      </c>
      <c r="V5" s="42"/>
      <c r="W5" s="43"/>
      <c r="X5" s="44" t="s">
        <v>194</v>
      </c>
      <c r="Y5" s="7"/>
      <c r="Z5" s="7"/>
      <c r="AA5" s="7"/>
      <c r="AB5" s="7"/>
      <c r="AC5" s="7"/>
      <c r="AD5" s="45"/>
      <c r="AE5" s="46"/>
      <c r="AF5" s="47"/>
      <c r="AG5" s="27"/>
      <c r="AH5" s="48"/>
      <c r="AI5" s="48"/>
      <c r="AJ5" s="48"/>
      <c r="AK5" s="48"/>
      <c r="AL5" s="48"/>
    </row>
    <row r="6" s="1" customFormat="1" ht="30" customHeight="1" spans="1:38">
      <c r="B6" s="49" t="s">
        <v>195</v>
      </c>
      <c r="C6" s="50">
        <v>0.02</v>
      </c>
      <c r="D6" s="13" t="s">
        <v>196</v>
      </c>
      <c r="E6" s="14"/>
      <c r="F6" s="15"/>
      <c r="G6" s="24" t="e">
        <f>#REF!</f>
        <v>#REF!</v>
      </c>
      <c r="H6" s="15" t="s">
        <v>197</v>
      </c>
      <c r="I6" s="17"/>
      <c r="J6" s="24">
        <v>0.06</v>
      </c>
      <c r="K6" s="17" t="s">
        <v>198</v>
      </c>
      <c r="L6" s="51">
        <v>0.13</v>
      </c>
      <c r="M6" s="52" t="s">
        <v>199</v>
      </c>
      <c r="N6" s="51">
        <v>0.12</v>
      </c>
      <c r="O6" s="53"/>
      <c r="P6" s="54"/>
      <c r="Q6" s="54"/>
      <c r="R6" s="54"/>
      <c r="S6" s="54"/>
      <c r="T6" s="54"/>
      <c r="U6" s="54"/>
      <c r="V6" s="54"/>
      <c r="W6" s="54"/>
      <c r="X6" s="7"/>
      <c r="Y6" s="55"/>
      <c r="Z6" s="7"/>
      <c r="AA6" s="7"/>
      <c r="AB6" s="7"/>
      <c r="AC6" s="7"/>
      <c r="AD6" s="45"/>
      <c r="AE6" s="46"/>
      <c r="AF6" s="47"/>
      <c r="AG6" s="27"/>
      <c r="AH6" s="48"/>
      <c r="AI6" s="48"/>
      <c r="AJ6" s="48"/>
      <c r="AK6" s="48"/>
      <c r="AL6" s="48"/>
    </row>
    <row r="7" s="1" customFormat="1" ht="30" customHeight="1" spans="1:38">
      <c r="B7" s="49" t="s">
        <v>200</v>
      </c>
      <c r="C7" s="50">
        <v>0.0055</v>
      </c>
      <c r="D7" s="13" t="s">
        <v>201</v>
      </c>
      <c r="E7" s="14"/>
      <c r="F7" s="15"/>
      <c r="G7" s="56">
        <v>0.8</v>
      </c>
      <c r="H7" s="15" t="s">
        <v>202</v>
      </c>
      <c r="I7" s="17"/>
      <c r="J7" s="16">
        <v>0.36</v>
      </c>
      <c r="K7" s="17" t="s">
        <v>203</v>
      </c>
      <c r="L7" s="16">
        <v>0.1</v>
      </c>
      <c r="M7" s="52" t="s">
        <v>204</v>
      </c>
      <c r="N7" s="20">
        <v>0.1</v>
      </c>
      <c r="O7" s="57"/>
      <c r="P7" s="57"/>
      <c r="Q7" s="57"/>
      <c r="R7" s="57"/>
      <c r="S7" s="57"/>
      <c r="T7" s="57"/>
      <c r="U7" s="57"/>
      <c r="V7" s="57"/>
      <c r="W7" s="58"/>
      <c r="X7" s="7"/>
      <c r="Y7" s="7"/>
      <c r="Z7" s="7"/>
      <c r="AA7" s="7"/>
      <c r="AB7" s="7"/>
      <c r="AC7" s="7"/>
      <c r="AD7" s="7"/>
      <c r="AE7" s="26"/>
      <c r="AF7" s="26"/>
      <c r="AG7" s="27"/>
      <c r="AH7" s="48"/>
      <c r="AI7" s="48"/>
      <c r="AJ7" s="48"/>
      <c r="AK7" s="48"/>
      <c r="AL7" s="48"/>
    </row>
    <row r="8" s="2" customFormat="1" ht="30" customHeight="1" spans="1:38">
      <c r="A8" s="59"/>
      <c r="B8" s="60" t="s">
        <v>205</v>
      </c>
      <c r="C8" s="61" t="s">
        <v>206</v>
      </c>
      <c r="D8" s="62" t="s">
        <v>207</v>
      </c>
      <c r="E8" s="63" t="s">
        <v>208</v>
      </c>
      <c r="F8" s="64"/>
      <c r="G8" s="65"/>
      <c r="H8" s="63" t="s">
        <v>209</v>
      </c>
      <c r="I8" s="65"/>
      <c r="J8" s="19" t="s">
        <v>210</v>
      </c>
      <c r="K8" s="63" t="s">
        <v>211</v>
      </c>
      <c r="L8" s="65"/>
      <c r="M8" s="19" t="s">
        <v>212</v>
      </c>
      <c r="N8" s="52" t="s">
        <v>213</v>
      </c>
      <c r="O8" s="52" t="s">
        <v>214</v>
      </c>
      <c r="P8" s="52" t="s">
        <v>215</v>
      </c>
      <c r="Q8" s="52" t="s">
        <v>216</v>
      </c>
      <c r="R8" s="52" t="s">
        <v>217</v>
      </c>
      <c r="S8" s="52" t="s">
        <v>218</v>
      </c>
      <c r="T8" s="52" t="s">
        <v>219</v>
      </c>
      <c r="U8" s="52" t="s">
        <v>220</v>
      </c>
      <c r="V8" s="52" t="s">
        <v>221</v>
      </c>
      <c r="W8" s="52" t="s">
        <v>222</v>
      </c>
      <c r="X8" s="66"/>
      <c r="Y8" s="66"/>
      <c r="Z8" s="66"/>
      <c r="AA8" s="66"/>
      <c r="AB8" s="66"/>
      <c r="AC8" s="66"/>
      <c r="AD8" s="67"/>
      <c r="AE8" s="68"/>
      <c r="AF8" s="69"/>
      <c r="AG8" s="70"/>
      <c r="AH8" s="71"/>
      <c r="AI8" s="71"/>
      <c r="AJ8" s="71"/>
      <c r="AK8" s="71"/>
      <c r="AL8" s="71"/>
    </row>
    <row r="9" s="2" customFormat="1" ht="64" customHeight="1" spans="1:38">
      <c r="A9" s="72"/>
      <c r="B9" s="73"/>
      <c r="C9" s="74"/>
      <c r="D9" s="73"/>
      <c r="E9" s="19" t="s">
        <v>223</v>
      </c>
      <c r="F9" s="19" t="s">
        <v>224</v>
      </c>
      <c r="G9" s="19" t="s">
        <v>225</v>
      </c>
      <c r="H9" s="19" t="s">
        <v>226</v>
      </c>
      <c r="I9" s="19" t="s">
        <v>227</v>
      </c>
      <c r="J9" s="19"/>
      <c r="K9" s="63" t="s">
        <v>228</v>
      </c>
      <c r="L9" s="65"/>
      <c r="M9" s="19"/>
      <c r="N9" s="52"/>
      <c r="O9" s="52"/>
      <c r="P9" s="52"/>
      <c r="Q9" s="52"/>
      <c r="R9" s="52"/>
      <c r="S9" s="52"/>
      <c r="T9" s="52"/>
      <c r="U9" s="52"/>
      <c r="V9" s="52"/>
      <c r="W9" s="52"/>
      <c r="X9" s="66"/>
      <c r="Y9" s="75"/>
      <c r="Z9" s="66"/>
      <c r="AA9" s="66"/>
      <c r="AB9" s="66"/>
      <c r="AC9" s="66"/>
      <c r="AD9" s="67"/>
      <c r="AE9" s="68"/>
      <c r="AF9" s="69"/>
      <c r="AG9" s="70"/>
      <c r="AH9" s="71"/>
      <c r="AI9" s="71"/>
      <c r="AJ9" s="71"/>
      <c r="AK9" s="71"/>
      <c r="AL9" s="71"/>
    </row>
    <row r="10" s="3" customFormat="1" ht="30" customHeight="1" spans="1:38">
      <c r="A10" s="5"/>
      <c r="B10" s="76" t="s">
        <v>229</v>
      </c>
      <c r="C10" s="77">
        <f>1-C6</f>
        <v>0.98</v>
      </c>
      <c r="D10" s="78" t="e">
        <f t="shared" ref="D10:D29" si="0">ROUND((G$2*$G$4*$J$3*$J$4*C10)/10000,4)</f>
        <v>#REF!</v>
      </c>
      <c r="E10" s="78" t="e">
        <f>D10*(1-$G$6)*$L$7</f>
        <v>#REF!</v>
      </c>
      <c r="F10" s="78" t="e">
        <f>D10*(1-$G$6)*80%*($J$7-$N$7)</f>
        <v>#REF!</v>
      </c>
      <c r="G10" s="78" t="e">
        <f t="shared" ref="G10:G29" si="1">E10+F10</f>
        <v>#REF!</v>
      </c>
      <c r="H10" s="79" t="e">
        <f>#REF!/10</f>
        <v>#REF!</v>
      </c>
      <c r="I10" s="78" t="e">
        <f t="shared" ref="I10:I29" si="2">ROUND(D10*$G$6*H10*$J$5,4)</f>
        <v>#REF!</v>
      </c>
      <c r="J10" s="80" t="e">
        <f t="shared" ref="J10:J29" si="3">G10+I10</f>
        <v>#REF!</v>
      </c>
      <c r="K10" s="81" t="e">
        <f t="shared" ref="K10:K29" si="4">J10/1.13</f>
        <v>#REF!</v>
      </c>
      <c r="L10" s="82"/>
      <c r="M10" s="83" t="e">
        <f t="shared" ref="M10:M29" si="5">ROUND(K10*$L$6,2)</f>
        <v>#REF!</v>
      </c>
      <c r="N10" s="84" t="e">
        <f>E53</f>
        <v>#REF!</v>
      </c>
      <c r="O10" s="85" t="e">
        <f>$L$2/$L$3</f>
        <v>#REF!</v>
      </c>
      <c r="P10" s="84" t="e">
        <f>#REF!*#REF!/10000</f>
        <v>#REF!</v>
      </c>
      <c r="Q10" s="85" t="e">
        <f>G2*1000*0.06/10000</f>
        <v>#REF!</v>
      </c>
      <c r="R10" s="86"/>
      <c r="S10" s="85" t="e">
        <f>E48</f>
        <v>#REF!</v>
      </c>
      <c r="T10" s="84" t="e">
        <f t="shared" ref="T10:T29" si="6">K10-N10-O10-P10-Q10-R10-S10</f>
        <v>#REF!</v>
      </c>
      <c r="U10" s="84" t="e">
        <f t="shared" ref="U10:U29" si="7">T10*0.25</f>
        <v>#REF!</v>
      </c>
      <c r="V10" s="84" t="e">
        <f t="shared" ref="V10:V29" si="8">T10-U10</f>
        <v>#REF!</v>
      </c>
      <c r="W10" s="87" t="e">
        <f>(S36+T36)/L5/J2</f>
        <v>#REF!</v>
      </c>
      <c r="X10" s="7"/>
      <c r="Y10" s="88"/>
      <c r="Z10" s="7"/>
      <c r="AA10" s="7"/>
      <c r="AB10" s="7"/>
      <c r="AC10" s="7"/>
      <c r="AD10" s="7"/>
      <c r="AE10" s="26"/>
      <c r="AF10" s="26"/>
      <c r="AG10" s="27"/>
      <c r="AH10" s="48"/>
      <c r="AI10" s="48"/>
      <c r="AJ10" s="48"/>
      <c r="AK10" s="48"/>
      <c r="AL10" s="48"/>
    </row>
    <row r="11" s="3" customFormat="1" ht="30" customHeight="1" spans="1:38">
      <c r="A11" s="5"/>
      <c r="B11" s="76" t="s">
        <v>230</v>
      </c>
      <c r="C11" s="77">
        <f t="shared" ref="C11:C29" si="9">C10-$C$7</f>
        <v>0.9745</v>
      </c>
      <c r="D11" s="78" t="e">
        <f t="shared" si="0"/>
        <v>#REF!</v>
      </c>
      <c r="E11" s="78" t="e">
        <f t="shared" ref="E10:E29" si="10">D11*(1-$G$6)*$L$7</f>
        <v>#REF!</v>
      </c>
      <c r="F11" s="78" t="e">
        <f t="shared" ref="F10:F21" si="11">D11*(1-$G$6)*80%*($J$7-$N$7)</f>
        <v>#REF!</v>
      </c>
      <c r="G11" s="78" t="e">
        <f t="shared" si="1"/>
        <v>#REF!</v>
      </c>
      <c r="H11" s="79" t="e">
        <f t="shared" ref="H11:H29" si="12">$H$10</f>
        <v>#REF!</v>
      </c>
      <c r="I11" s="78" t="e">
        <f t="shared" si="2"/>
        <v>#REF!</v>
      </c>
      <c r="J11" s="80" t="e">
        <f t="shared" si="3"/>
        <v>#REF!</v>
      </c>
      <c r="K11" s="81" t="e">
        <f t="shared" si="4"/>
        <v>#REF!</v>
      </c>
      <c r="L11" s="82"/>
      <c r="M11" s="83" t="e">
        <f t="shared" si="5"/>
        <v>#REF!</v>
      </c>
      <c r="N11" s="84" t="e">
        <f>F53</f>
        <v>#REF!</v>
      </c>
      <c r="O11" s="85" t="e">
        <f t="shared" ref="O11:O29" si="13">$O$10</f>
        <v>#REF!</v>
      </c>
      <c r="P11" s="84" t="e">
        <f>#REF!*#REF!/10000</f>
        <v>#REF!</v>
      </c>
      <c r="Q11" s="85" t="e">
        <f t="shared" ref="Q11:Q29" si="14">Q10</f>
        <v>#REF!</v>
      </c>
      <c r="R11" s="86"/>
      <c r="S11" s="85" t="e">
        <f>F48</f>
        <v>#REF!</v>
      </c>
      <c r="T11" s="84" t="e">
        <f t="shared" si="6"/>
        <v>#REF!</v>
      </c>
      <c r="U11" s="84" t="e">
        <f t="shared" si="7"/>
        <v>#REF!</v>
      </c>
      <c r="V11" s="84" t="e">
        <f t="shared" si="8"/>
        <v>#REF!</v>
      </c>
      <c r="W11" s="89"/>
      <c r="X11" s="7"/>
      <c r="Y11" s="88"/>
      <c r="Z11" s="7"/>
      <c r="AA11" s="7"/>
      <c r="AB11" s="7"/>
      <c r="AC11" s="7"/>
      <c r="AD11" s="45"/>
      <c r="AE11" s="46"/>
      <c r="AF11" s="47"/>
      <c r="AG11" s="27"/>
      <c r="AH11" s="48"/>
      <c r="AI11" s="48"/>
      <c r="AJ11" s="48"/>
      <c r="AK11" s="48"/>
      <c r="AL11" s="48"/>
    </row>
    <row r="12" s="3" customFormat="1" ht="30" customHeight="1" spans="1:38">
      <c r="A12" s="72"/>
      <c r="B12" s="76" t="s">
        <v>231</v>
      </c>
      <c r="C12" s="77">
        <f t="shared" si="9"/>
        <v>0.969</v>
      </c>
      <c r="D12" s="78" t="e">
        <f t="shared" si="0"/>
        <v>#REF!</v>
      </c>
      <c r="E12" s="78" t="e">
        <f t="shared" si="10"/>
        <v>#REF!</v>
      </c>
      <c r="F12" s="78" t="e">
        <f t="shared" si="11"/>
        <v>#REF!</v>
      </c>
      <c r="G12" s="78" t="e">
        <f t="shared" si="1"/>
        <v>#REF!</v>
      </c>
      <c r="H12" s="79" t="e">
        <f t="shared" si="12"/>
        <v>#REF!</v>
      </c>
      <c r="I12" s="78" t="e">
        <f t="shared" si="2"/>
        <v>#REF!</v>
      </c>
      <c r="J12" s="80" t="e">
        <f t="shared" si="3"/>
        <v>#REF!</v>
      </c>
      <c r="K12" s="81" t="e">
        <f t="shared" si="4"/>
        <v>#REF!</v>
      </c>
      <c r="L12" s="82"/>
      <c r="M12" s="83" t="e">
        <f t="shared" si="5"/>
        <v>#REF!</v>
      </c>
      <c r="N12" s="84" t="e">
        <f>G53</f>
        <v>#REF!</v>
      </c>
      <c r="O12" s="85" t="e">
        <f t="shared" si="13"/>
        <v>#REF!</v>
      </c>
      <c r="P12" s="84" t="e">
        <f>#REF!*#REF!/10000</f>
        <v>#REF!</v>
      </c>
      <c r="Q12" s="85" t="e">
        <f t="shared" si="14"/>
        <v>#REF!</v>
      </c>
      <c r="R12" s="86"/>
      <c r="S12" s="85" t="e">
        <f>G48</f>
        <v>#REF!</v>
      </c>
      <c r="T12" s="84" t="e">
        <f t="shared" si="6"/>
        <v>#REF!</v>
      </c>
      <c r="U12" s="84" t="e">
        <f t="shared" si="7"/>
        <v>#REF!</v>
      </c>
      <c r="V12" s="84" t="e">
        <f t="shared" si="8"/>
        <v>#REF!</v>
      </c>
      <c r="W12" s="89"/>
      <c r="X12" s="7"/>
      <c r="Y12" s="88"/>
      <c r="Z12" s="7"/>
      <c r="AA12" s="7"/>
      <c r="AB12" s="7"/>
      <c r="AC12" s="7"/>
      <c r="AD12" s="45"/>
      <c r="AE12" s="46"/>
      <c r="AF12" s="47"/>
      <c r="AG12" s="27"/>
      <c r="AH12" s="48"/>
      <c r="AI12" s="48"/>
      <c r="AJ12" s="48"/>
      <c r="AK12" s="48"/>
      <c r="AL12" s="48"/>
    </row>
    <row r="13" s="3" customFormat="1" ht="30" customHeight="1" spans="1:38">
      <c r="A13" s="72"/>
      <c r="B13" s="76" t="s">
        <v>232</v>
      </c>
      <c r="C13" s="77">
        <f t="shared" si="9"/>
        <v>0.9635</v>
      </c>
      <c r="D13" s="78" t="e">
        <f t="shared" si="0"/>
        <v>#REF!</v>
      </c>
      <c r="E13" s="78" t="e">
        <f t="shared" si="10"/>
        <v>#REF!</v>
      </c>
      <c r="F13" s="78" t="e">
        <f t="shared" si="11"/>
        <v>#REF!</v>
      </c>
      <c r="G13" s="78" t="e">
        <f t="shared" si="1"/>
        <v>#REF!</v>
      </c>
      <c r="H13" s="79" t="e">
        <f t="shared" si="12"/>
        <v>#REF!</v>
      </c>
      <c r="I13" s="78" t="e">
        <f t="shared" si="2"/>
        <v>#REF!</v>
      </c>
      <c r="J13" s="80" t="e">
        <f t="shared" si="3"/>
        <v>#REF!</v>
      </c>
      <c r="K13" s="81" t="e">
        <f t="shared" si="4"/>
        <v>#REF!</v>
      </c>
      <c r="L13" s="82"/>
      <c r="M13" s="83" t="e">
        <f t="shared" si="5"/>
        <v>#REF!</v>
      </c>
      <c r="N13" s="84" t="e">
        <f>H53</f>
        <v>#REF!</v>
      </c>
      <c r="O13" s="85" t="e">
        <f t="shared" si="13"/>
        <v>#REF!</v>
      </c>
      <c r="P13" s="84" t="e">
        <f>#REF!*#REF!/10000</f>
        <v>#REF!</v>
      </c>
      <c r="Q13" s="85" t="e">
        <f t="shared" si="14"/>
        <v>#REF!</v>
      </c>
      <c r="R13" s="86"/>
      <c r="S13" s="85" t="e">
        <f>H48</f>
        <v>#REF!</v>
      </c>
      <c r="T13" s="84" t="e">
        <f t="shared" si="6"/>
        <v>#REF!</v>
      </c>
      <c r="U13" s="84" t="e">
        <f t="shared" si="7"/>
        <v>#REF!</v>
      </c>
      <c r="V13" s="84" t="e">
        <f t="shared" si="8"/>
        <v>#REF!</v>
      </c>
      <c r="W13" s="89"/>
      <c r="X13" s="7"/>
      <c r="Y13" s="88"/>
      <c r="Z13" s="7"/>
      <c r="AA13" s="7"/>
      <c r="AB13" s="7"/>
      <c r="AC13" s="7"/>
      <c r="AD13" s="7"/>
      <c r="AE13" s="26"/>
      <c r="AF13" s="26"/>
      <c r="AG13" s="27"/>
      <c r="AH13" s="48"/>
      <c r="AI13" s="48"/>
      <c r="AJ13" s="48"/>
      <c r="AK13" s="48"/>
      <c r="AL13" s="48"/>
    </row>
    <row r="14" s="3" customFormat="1" ht="30" customHeight="1" spans="1:38">
      <c r="A14" s="5"/>
      <c r="B14" s="76" t="s">
        <v>233</v>
      </c>
      <c r="C14" s="77">
        <f t="shared" si="9"/>
        <v>0.958</v>
      </c>
      <c r="D14" s="78" t="e">
        <f t="shared" si="0"/>
        <v>#REF!</v>
      </c>
      <c r="E14" s="78" t="e">
        <f t="shared" si="10"/>
        <v>#REF!</v>
      </c>
      <c r="F14" s="78" t="e">
        <f t="shared" si="11"/>
        <v>#REF!</v>
      </c>
      <c r="G14" s="78" t="e">
        <f t="shared" si="1"/>
        <v>#REF!</v>
      </c>
      <c r="H14" s="79" t="e">
        <f t="shared" si="12"/>
        <v>#REF!</v>
      </c>
      <c r="I14" s="78" t="e">
        <f t="shared" si="2"/>
        <v>#REF!</v>
      </c>
      <c r="J14" s="80" t="e">
        <f t="shared" si="3"/>
        <v>#REF!</v>
      </c>
      <c r="K14" s="81" t="e">
        <f t="shared" si="4"/>
        <v>#REF!</v>
      </c>
      <c r="L14" s="82"/>
      <c r="M14" s="83" t="e">
        <f t="shared" si="5"/>
        <v>#REF!</v>
      </c>
      <c r="N14" s="84" t="e">
        <f>I53</f>
        <v>#REF!</v>
      </c>
      <c r="O14" s="85" t="e">
        <f t="shared" si="13"/>
        <v>#REF!</v>
      </c>
      <c r="P14" s="84" t="e">
        <f>#REF!*#REF!/10000</f>
        <v>#REF!</v>
      </c>
      <c r="Q14" s="85" t="e">
        <f t="shared" si="14"/>
        <v>#REF!</v>
      </c>
      <c r="R14" s="86"/>
      <c r="S14" s="85" t="e">
        <f>I48</f>
        <v>#REF!</v>
      </c>
      <c r="T14" s="84" t="e">
        <f t="shared" si="6"/>
        <v>#REF!</v>
      </c>
      <c r="U14" s="84" t="e">
        <f t="shared" si="7"/>
        <v>#REF!</v>
      </c>
      <c r="V14" s="84" t="e">
        <f t="shared" si="8"/>
        <v>#REF!</v>
      </c>
      <c r="W14" s="89"/>
      <c r="X14" s="7"/>
      <c r="Y14" s="88"/>
      <c r="Z14" s="7"/>
      <c r="AA14" s="7"/>
      <c r="AB14" s="7"/>
      <c r="AC14" s="7"/>
      <c r="AD14" s="45"/>
      <c r="AE14" s="46"/>
      <c r="AF14" s="47"/>
      <c r="AG14" s="27"/>
      <c r="AH14" s="48"/>
      <c r="AI14" s="48"/>
      <c r="AJ14" s="48"/>
      <c r="AK14" s="48"/>
      <c r="AL14" s="48"/>
    </row>
    <row r="15" s="3" customFormat="1" ht="30" customHeight="1" spans="1:38">
      <c r="A15" s="5"/>
      <c r="B15" s="76" t="s">
        <v>234</v>
      </c>
      <c r="C15" s="77">
        <f t="shared" si="9"/>
        <v>0.9525</v>
      </c>
      <c r="D15" s="78" t="e">
        <f t="shared" si="0"/>
        <v>#REF!</v>
      </c>
      <c r="E15" s="78" t="e">
        <f t="shared" si="10"/>
        <v>#REF!</v>
      </c>
      <c r="F15" s="78" t="e">
        <f t="shared" si="11"/>
        <v>#REF!</v>
      </c>
      <c r="G15" s="78" t="e">
        <f t="shared" si="1"/>
        <v>#REF!</v>
      </c>
      <c r="H15" s="79" t="e">
        <f t="shared" si="12"/>
        <v>#REF!</v>
      </c>
      <c r="I15" s="78" t="e">
        <f t="shared" si="2"/>
        <v>#REF!</v>
      </c>
      <c r="J15" s="80" t="e">
        <f t="shared" si="3"/>
        <v>#REF!</v>
      </c>
      <c r="K15" s="81" t="e">
        <f t="shared" si="4"/>
        <v>#REF!</v>
      </c>
      <c r="L15" s="82"/>
      <c r="M15" s="83" t="e">
        <f t="shared" si="5"/>
        <v>#REF!</v>
      </c>
      <c r="N15" s="84" t="e">
        <f>J53</f>
        <v>#REF!</v>
      </c>
      <c r="O15" s="85" t="e">
        <f t="shared" si="13"/>
        <v>#REF!</v>
      </c>
      <c r="P15" s="84" t="e">
        <f>#REF!*#REF!/10000</f>
        <v>#REF!</v>
      </c>
      <c r="Q15" s="85" t="e">
        <f t="shared" si="14"/>
        <v>#REF!</v>
      </c>
      <c r="R15" s="86"/>
      <c r="S15" s="85" t="e">
        <f>J48</f>
        <v>#REF!</v>
      </c>
      <c r="T15" s="84" t="e">
        <f t="shared" si="6"/>
        <v>#REF!</v>
      </c>
      <c r="U15" s="84" t="e">
        <f t="shared" si="7"/>
        <v>#REF!</v>
      </c>
      <c r="V15" s="84" t="e">
        <f t="shared" si="8"/>
        <v>#REF!</v>
      </c>
      <c r="W15" s="89"/>
      <c r="X15" s="7"/>
      <c r="Y15" s="88"/>
      <c r="Z15" s="7"/>
      <c r="AA15" s="7"/>
      <c r="AB15" s="7"/>
      <c r="AC15" s="7"/>
      <c r="AD15" s="45"/>
      <c r="AE15" s="46"/>
      <c r="AF15" s="47"/>
      <c r="AG15" s="27"/>
      <c r="AH15" s="48"/>
      <c r="AI15" s="48"/>
      <c r="AJ15" s="48"/>
      <c r="AK15" s="48"/>
      <c r="AL15" s="48"/>
    </row>
    <row r="16" s="3" customFormat="1" ht="30" customHeight="1" spans="1:38">
      <c r="A16" s="5"/>
      <c r="B16" s="76" t="s">
        <v>235</v>
      </c>
      <c r="C16" s="77">
        <f t="shared" si="9"/>
        <v>0.947</v>
      </c>
      <c r="D16" s="78" t="e">
        <f t="shared" si="0"/>
        <v>#REF!</v>
      </c>
      <c r="E16" s="78" t="e">
        <f t="shared" si="10"/>
        <v>#REF!</v>
      </c>
      <c r="F16" s="78" t="e">
        <f t="shared" si="11"/>
        <v>#REF!</v>
      </c>
      <c r="G16" s="78" t="e">
        <f t="shared" si="1"/>
        <v>#REF!</v>
      </c>
      <c r="H16" s="79" t="e">
        <f t="shared" si="12"/>
        <v>#REF!</v>
      </c>
      <c r="I16" s="78" t="e">
        <f t="shared" si="2"/>
        <v>#REF!</v>
      </c>
      <c r="J16" s="80" t="e">
        <f t="shared" si="3"/>
        <v>#REF!</v>
      </c>
      <c r="K16" s="81" t="e">
        <f t="shared" si="4"/>
        <v>#REF!</v>
      </c>
      <c r="L16" s="82"/>
      <c r="M16" s="83" t="e">
        <f t="shared" si="5"/>
        <v>#REF!</v>
      </c>
      <c r="N16" s="84" t="e">
        <f>K53</f>
        <v>#REF!</v>
      </c>
      <c r="O16" s="85" t="e">
        <f t="shared" si="13"/>
        <v>#REF!</v>
      </c>
      <c r="P16" s="84" t="e">
        <f>#REF!*#REF!/10000</f>
        <v>#REF!</v>
      </c>
      <c r="Q16" s="85" t="e">
        <f t="shared" si="14"/>
        <v>#REF!</v>
      </c>
      <c r="R16" s="86"/>
      <c r="S16" s="85" t="e">
        <f>K48</f>
        <v>#REF!</v>
      </c>
      <c r="T16" s="84" t="e">
        <f t="shared" si="6"/>
        <v>#REF!</v>
      </c>
      <c r="U16" s="84" t="e">
        <f t="shared" si="7"/>
        <v>#REF!</v>
      </c>
      <c r="V16" s="84" t="e">
        <f t="shared" si="8"/>
        <v>#REF!</v>
      </c>
      <c r="W16" s="89"/>
      <c r="X16" s="7"/>
      <c r="Y16" s="88"/>
      <c r="Z16" s="7"/>
      <c r="AA16" s="7"/>
      <c r="AB16" s="7"/>
      <c r="AC16" s="7"/>
      <c r="AD16" s="7"/>
      <c r="AE16" s="26"/>
      <c r="AF16" s="26"/>
      <c r="AG16" s="27"/>
      <c r="AH16" s="48"/>
      <c r="AI16" s="48"/>
      <c r="AJ16" s="48"/>
      <c r="AK16" s="48"/>
      <c r="AL16" s="48"/>
    </row>
    <row r="17" s="3" customFormat="1" ht="30" customHeight="1" spans="1:39">
      <c r="A17" s="5"/>
      <c r="B17" s="76" t="s">
        <v>236</v>
      </c>
      <c r="C17" s="77">
        <f t="shared" si="9"/>
        <v>0.9415</v>
      </c>
      <c r="D17" s="78" t="e">
        <f t="shared" si="0"/>
        <v>#REF!</v>
      </c>
      <c r="E17" s="78" t="e">
        <f t="shared" si="10"/>
        <v>#REF!</v>
      </c>
      <c r="F17" s="78" t="e">
        <f t="shared" si="11"/>
        <v>#REF!</v>
      </c>
      <c r="G17" s="78" t="e">
        <f t="shared" si="1"/>
        <v>#REF!</v>
      </c>
      <c r="H17" s="79" t="e">
        <f t="shared" si="12"/>
        <v>#REF!</v>
      </c>
      <c r="I17" s="78" t="e">
        <f t="shared" si="2"/>
        <v>#REF!</v>
      </c>
      <c r="J17" s="80" t="e">
        <f t="shared" si="3"/>
        <v>#REF!</v>
      </c>
      <c r="K17" s="81" t="e">
        <f t="shared" si="4"/>
        <v>#REF!</v>
      </c>
      <c r="L17" s="82"/>
      <c r="M17" s="83" t="e">
        <f t="shared" si="5"/>
        <v>#REF!</v>
      </c>
      <c r="N17" s="84" t="e">
        <f>L53</f>
        <v>#REF!</v>
      </c>
      <c r="O17" s="85" t="e">
        <f t="shared" si="13"/>
        <v>#REF!</v>
      </c>
      <c r="P17" s="84" t="e">
        <f>#REF!*#REF!/10000</f>
        <v>#REF!</v>
      </c>
      <c r="Q17" s="85" t="e">
        <f t="shared" si="14"/>
        <v>#REF!</v>
      </c>
      <c r="R17" s="86"/>
      <c r="S17" s="85" t="e">
        <f>L48</f>
        <v>#REF!</v>
      </c>
      <c r="T17" s="84" t="e">
        <f t="shared" si="6"/>
        <v>#REF!</v>
      </c>
      <c r="U17" s="84" t="e">
        <f t="shared" si="7"/>
        <v>#REF!</v>
      </c>
      <c r="V17" s="84" t="e">
        <f t="shared" si="8"/>
        <v>#REF!</v>
      </c>
      <c r="W17" s="89"/>
      <c r="X17" s="7"/>
      <c r="Y17" s="88"/>
      <c r="Z17" s="7"/>
      <c r="AA17" s="7"/>
      <c r="AB17" s="7"/>
      <c r="AC17" s="7"/>
      <c r="AD17" s="45"/>
      <c r="AE17" s="46"/>
      <c r="AF17" s="47"/>
      <c r="AG17" s="27"/>
      <c r="AH17" s="48"/>
      <c r="AI17" s="48"/>
      <c r="AJ17" s="48"/>
      <c r="AK17" s="48"/>
      <c r="AL17" s="48"/>
    </row>
    <row r="18" s="3" customFormat="1" ht="30" customHeight="1" spans="1:39">
      <c r="A18" s="5"/>
      <c r="B18" s="76" t="s">
        <v>237</v>
      </c>
      <c r="C18" s="77">
        <f t="shared" si="9"/>
        <v>0.936</v>
      </c>
      <c r="D18" s="78" t="e">
        <f t="shared" si="0"/>
        <v>#REF!</v>
      </c>
      <c r="E18" s="78" t="e">
        <f t="shared" si="10"/>
        <v>#REF!</v>
      </c>
      <c r="F18" s="78" t="e">
        <f t="shared" si="11"/>
        <v>#REF!</v>
      </c>
      <c r="G18" s="78" t="e">
        <f t="shared" si="1"/>
        <v>#REF!</v>
      </c>
      <c r="H18" s="79" t="e">
        <f t="shared" si="12"/>
        <v>#REF!</v>
      </c>
      <c r="I18" s="78" t="e">
        <f t="shared" si="2"/>
        <v>#REF!</v>
      </c>
      <c r="J18" s="80" t="e">
        <f t="shared" si="3"/>
        <v>#REF!</v>
      </c>
      <c r="K18" s="81" t="e">
        <f t="shared" si="4"/>
        <v>#REF!</v>
      </c>
      <c r="L18" s="82"/>
      <c r="M18" s="83" t="e">
        <f t="shared" si="5"/>
        <v>#REF!</v>
      </c>
      <c r="N18" s="84" t="e">
        <f>M53</f>
        <v>#REF!</v>
      </c>
      <c r="O18" s="85" t="e">
        <f t="shared" si="13"/>
        <v>#REF!</v>
      </c>
      <c r="P18" s="84" t="e">
        <f>#REF!*#REF!/10000</f>
        <v>#REF!</v>
      </c>
      <c r="Q18" s="85" t="e">
        <f t="shared" si="14"/>
        <v>#REF!</v>
      </c>
      <c r="R18" s="86"/>
      <c r="S18" s="85" t="e">
        <f>M48</f>
        <v>#REF!</v>
      </c>
      <c r="T18" s="84" t="e">
        <f t="shared" si="6"/>
        <v>#REF!</v>
      </c>
      <c r="U18" s="84" t="e">
        <f t="shared" si="7"/>
        <v>#REF!</v>
      </c>
      <c r="V18" s="84" t="e">
        <f t="shared" si="8"/>
        <v>#REF!</v>
      </c>
      <c r="W18" s="89"/>
      <c r="X18" s="7"/>
      <c r="Y18" s="88"/>
      <c r="Z18" s="7"/>
      <c r="AA18" s="7"/>
      <c r="AB18" s="7"/>
      <c r="AC18" s="7"/>
      <c r="AD18" s="45"/>
      <c r="AE18" s="46"/>
      <c r="AF18" s="47"/>
      <c r="AG18" s="27"/>
      <c r="AH18" s="48"/>
      <c r="AI18" s="48"/>
      <c r="AJ18" s="48"/>
      <c r="AK18" s="48"/>
      <c r="AL18" s="48"/>
    </row>
    <row r="19" s="3" customFormat="1" ht="30" customHeight="1" spans="1:39">
      <c r="A19" s="5"/>
      <c r="B19" s="76" t="s">
        <v>238</v>
      </c>
      <c r="C19" s="77">
        <f t="shared" si="9"/>
        <v>0.9305</v>
      </c>
      <c r="D19" s="78" t="e">
        <f t="shared" si="0"/>
        <v>#REF!</v>
      </c>
      <c r="E19" s="78" t="e">
        <f t="shared" si="10"/>
        <v>#REF!</v>
      </c>
      <c r="F19" s="78" t="e">
        <f t="shared" si="11"/>
        <v>#REF!</v>
      </c>
      <c r="G19" s="78" t="e">
        <f t="shared" si="1"/>
        <v>#REF!</v>
      </c>
      <c r="H19" s="79" t="e">
        <f t="shared" si="12"/>
        <v>#REF!</v>
      </c>
      <c r="I19" s="78" t="e">
        <f t="shared" si="2"/>
        <v>#REF!</v>
      </c>
      <c r="J19" s="80" t="e">
        <f t="shared" si="3"/>
        <v>#REF!</v>
      </c>
      <c r="K19" s="81" t="e">
        <f t="shared" si="4"/>
        <v>#REF!</v>
      </c>
      <c r="L19" s="82"/>
      <c r="M19" s="83" t="e">
        <f t="shared" si="5"/>
        <v>#REF!</v>
      </c>
      <c r="N19" s="84" t="e">
        <f>N53</f>
        <v>#REF!</v>
      </c>
      <c r="O19" s="85" t="e">
        <f t="shared" si="13"/>
        <v>#REF!</v>
      </c>
      <c r="P19" s="84" t="e">
        <f>#REF!*#REF!/10000</f>
        <v>#REF!</v>
      </c>
      <c r="Q19" s="85" t="e">
        <f t="shared" si="14"/>
        <v>#REF!</v>
      </c>
      <c r="R19" s="86"/>
      <c r="S19" s="85" t="e">
        <f>N48</f>
        <v>#REF!</v>
      </c>
      <c r="T19" s="84" t="e">
        <f t="shared" si="6"/>
        <v>#REF!</v>
      </c>
      <c r="U19" s="84" t="e">
        <f t="shared" si="7"/>
        <v>#REF!</v>
      </c>
      <c r="V19" s="84" t="e">
        <f t="shared" si="8"/>
        <v>#REF!</v>
      </c>
      <c r="W19" s="89"/>
      <c r="X19" s="7"/>
      <c r="Y19" s="88"/>
      <c r="Z19" s="7"/>
      <c r="AA19" s="7"/>
      <c r="AB19" s="7"/>
      <c r="AC19" s="7"/>
      <c r="AD19" s="7"/>
      <c r="AE19" s="26"/>
      <c r="AF19" s="26"/>
      <c r="AG19" s="27"/>
      <c r="AH19" s="48"/>
      <c r="AI19" s="48"/>
      <c r="AJ19" s="48"/>
      <c r="AK19" s="48"/>
      <c r="AL19" s="48"/>
    </row>
    <row r="20" s="3" customFormat="1" ht="30" customHeight="1" spans="1:39">
      <c r="A20" s="66"/>
      <c r="B20" s="76" t="s">
        <v>239</v>
      </c>
      <c r="C20" s="77">
        <f t="shared" si="9"/>
        <v>0.925</v>
      </c>
      <c r="D20" s="78" t="e">
        <f t="shared" si="0"/>
        <v>#REF!</v>
      </c>
      <c r="E20" s="78" t="e">
        <f t="shared" si="10"/>
        <v>#REF!</v>
      </c>
      <c r="F20" s="78" t="e">
        <f t="shared" si="11"/>
        <v>#REF!</v>
      </c>
      <c r="G20" s="78" t="e">
        <f t="shared" si="1"/>
        <v>#REF!</v>
      </c>
      <c r="H20" s="79" t="e">
        <f t="shared" si="12"/>
        <v>#REF!</v>
      </c>
      <c r="I20" s="78" t="e">
        <f t="shared" si="2"/>
        <v>#REF!</v>
      </c>
      <c r="J20" s="80" t="e">
        <f t="shared" si="3"/>
        <v>#REF!</v>
      </c>
      <c r="K20" s="81" t="e">
        <f t="shared" si="4"/>
        <v>#REF!</v>
      </c>
      <c r="L20" s="82"/>
      <c r="M20" s="83" t="e">
        <f t="shared" si="5"/>
        <v>#REF!</v>
      </c>
      <c r="N20" s="84" t="e">
        <f>O53</f>
        <v>#REF!</v>
      </c>
      <c r="O20" s="85" t="e">
        <f t="shared" si="13"/>
        <v>#REF!</v>
      </c>
      <c r="P20" s="84" t="e">
        <f>#REF!*#REF!/10000</f>
        <v>#REF!</v>
      </c>
      <c r="Q20" s="85" t="e">
        <f t="shared" si="14"/>
        <v>#REF!</v>
      </c>
      <c r="R20" s="85" t="e">
        <f t="shared" ref="R20:R29" si="15">$N$5/($L$5-10)</f>
        <v>#REF!</v>
      </c>
      <c r="S20" s="85" t="e">
        <f>O48</f>
        <v>#REF!</v>
      </c>
      <c r="T20" s="84" t="e">
        <f t="shared" si="6"/>
        <v>#REF!</v>
      </c>
      <c r="U20" s="84" t="e">
        <f t="shared" si="7"/>
        <v>#REF!</v>
      </c>
      <c r="V20" s="84" t="e">
        <f t="shared" si="8"/>
        <v>#REF!</v>
      </c>
      <c r="W20" s="89"/>
      <c r="X20" s="7"/>
      <c r="Y20" s="88"/>
      <c r="Z20" s="7"/>
      <c r="AA20" s="7"/>
      <c r="AB20" s="7"/>
      <c r="AC20" s="7"/>
      <c r="AD20" s="45"/>
      <c r="AE20" s="46"/>
      <c r="AF20" s="47"/>
      <c r="AG20" s="27"/>
      <c r="AH20" s="48"/>
      <c r="AI20" s="48"/>
      <c r="AJ20" s="48"/>
      <c r="AK20" s="48"/>
      <c r="AL20" s="48"/>
    </row>
    <row r="21" s="3" customFormat="1" ht="30" customHeight="1" spans="1:39">
      <c r="A21" s="66"/>
      <c r="B21" s="76" t="s">
        <v>240</v>
      </c>
      <c r="C21" s="77">
        <f t="shared" si="9"/>
        <v>0.919500000000001</v>
      </c>
      <c r="D21" s="78" t="e">
        <f t="shared" si="0"/>
        <v>#REF!</v>
      </c>
      <c r="E21" s="78" t="e">
        <f t="shared" si="10"/>
        <v>#REF!</v>
      </c>
      <c r="F21" s="78" t="e">
        <f t="shared" si="11"/>
        <v>#REF!</v>
      </c>
      <c r="G21" s="78" t="e">
        <f t="shared" si="1"/>
        <v>#REF!</v>
      </c>
      <c r="H21" s="79" t="e">
        <f t="shared" si="12"/>
        <v>#REF!</v>
      </c>
      <c r="I21" s="78" t="e">
        <f t="shared" si="2"/>
        <v>#REF!</v>
      </c>
      <c r="J21" s="80" t="e">
        <f t="shared" si="3"/>
        <v>#REF!</v>
      </c>
      <c r="K21" s="81" t="e">
        <f t="shared" si="4"/>
        <v>#REF!</v>
      </c>
      <c r="L21" s="82"/>
      <c r="M21" s="83" t="e">
        <f t="shared" si="5"/>
        <v>#REF!</v>
      </c>
      <c r="N21" s="84" t="e">
        <f>P53</f>
        <v>#REF!</v>
      </c>
      <c r="O21" s="85" t="e">
        <f t="shared" si="13"/>
        <v>#REF!</v>
      </c>
      <c r="P21" s="84" t="e">
        <f>#REF!*#REF!/10000</f>
        <v>#REF!</v>
      </c>
      <c r="Q21" s="85" t="e">
        <f t="shared" si="14"/>
        <v>#REF!</v>
      </c>
      <c r="R21" s="85" t="e">
        <f t="shared" si="15"/>
        <v>#REF!</v>
      </c>
      <c r="S21" s="86"/>
      <c r="T21" s="84" t="e">
        <f t="shared" si="6"/>
        <v>#REF!</v>
      </c>
      <c r="U21" s="84" t="e">
        <f t="shared" si="7"/>
        <v>#REF!</v>
      </c>
      <c r="V21" s="84" t="e">
        <f t="shared" si="8"/>
        <v>#REF!</v>
      </c>
      <c r="W21" s="89"/>
      <c r="X21" s="7"/>
      <c r="Y21" s="88"/>
      <c r="Z21" s="7"/>
      <c r="AA21" s="7"/>
      <c r="AB21" s="7"/>
      <c r="AC21" s="7"/>
      <c r="AD21" s="45"/>
      <c r="AE21" s="46"/>
      <c r="AF21" s="47"/>
      <c r="AG21" s="27"/>
      <c r="AH21" s="48"/>
      <c r="AI21" s="48"/>
      <c r="AJ21" s="48"/>
      <c r="AK21" s="48"/>
      <c r="AL21" s="48"/>
    </row>
    <row r="22" s="3" customFormat="1" ht="30" customHeight="1" spans="1:39">
      <c r="A22" s="66"/>
      <c r="B22" s="76" t="s">
        <v>241</v>
      </c>
      <c r="C22" s="77">
        <f t="shared" si="9"/>
        <v>0.914000000000001</v>
      </c>
      <c r="D22" s="78" t="e">
        <f t="shared" si="0"/>
        <v>#REF!</v>
      </c>
      <c r="E22" s="78" t="e">
        <f t="shared" si="10"/>
        <v>#REF!</v>
      </c>
      <c r="F22" s="78"/>
      <c r="G22" s="78" t="e">
        <f t="shared" si="1"/>
        <v>#REF!</v>
      </c>
      <c r="H22" s="79" t="e">
        <f t="shared" si="12"/>
        <v>#REF!</v>
      </c>
      <c r="I22" s="78" t="e">
        <f t="shared" si="2"/>
        <v>#REF!</v>
      </c>
      <c r="J22" s="80" t="e">
        <f t="shared" si="3"/>
        <v>#REF!</v>
      </c>
      <c r="K22" s="81" t="e">
        <f t="shared" si="4"/>
        <v>#REF!</v>
      </c>
      <c r="L22" s="82"/>
      <c r="M22" s="83" t="e">
        <f t="shared" si="5"/>
        <v>#REF!</v>
      </c>
      <c r="N22" s="84" t="e">
        <f>Q53</f>
        <v>#REF!</v>
      </c>
      <c r="O22" s="85" t="e">
        <f t="shared" si="13"/>
        <v>#REF!</v>
      </c>
      <c r="P22" s="84" t="e">
        <f>#REF!*#REF!/10000</f>
        <v>#REF!</v>
      </c>
      <c r="Q22" s="85" t="e">
        <f t="shared" si="14"/>
        <v>#REF!</v>
      </c>
      <c r="R22" s="85" t="e">
        <f t="shared" si="15"/>
        <v>#REF!</v>
      </c>
      <c r="S22" s="86"/>
      <c r="T22" s="84" t="e">
        <f t="shared" si="6"/>
        <v>#REF!</v>
      </c>
      <c r="U22" s="84" t="e">
        <f t="shared" si="7"/>
        <v>#REF!</v>
      </c>
      <c r="V22" s="84" t="e">
        <f t="shared" si="8"/>
        <v>#REF!</v>
      </c>
      <c r="W22" s="89"/>
      <c r="X22" s="7"/>
      <c r="Y22" s="88"/>
      <c r="Z22" s="7"/>
      <c r="AA22" s="7"/>
      <c r="AB22" s="7"/>
      <c r="AC22" s="7"/>
      <c r="AD22" s="7"/>
      <c r="AE22" s="26"/>
      <c r="AF22" s="26"/>
      <c r="AG22" s="27"/>
      <c r="AH22" s="48"/>
      <c r="AI22" s="48"/>
      <c r="AJ22" s="48"/>
      <c r="AK22" s="48"/>
      <c r="AL22" s="48"/>
    </row>
    <row r="23" s="3" customFormat="1" ht="30" customHeight="1" spans="1:39">
      <c r="A23" s="66"/>
      <c r="B23" s="76" t="s">
        <v>242</v>
      </c>
      <c r="C23" s="77">
        <f t="shared" si="9"/>
        <v>0.908500000000001</v>
      </c>
      <c r="D23" s="78" t="e">
        <f t="shared" si="0"/>
        <v>#REF!</v>
      </c>
      <c r="E23" s="78" t="e">
        <f t="shared" si="10"/>
        <v>#REF!</v>
      </c>
      <c r="F23" s="78"/>
      <c r="G23" s="78" t="e">
        <f t="shared" si="1"/>
        <v>#REF!</v>
      </c>
      <c r="H23" s="79" t="e">
        <f t="shared" si="12"/>
        <v>#REF!</v>
      </c>
      <c r="I23" s="78" t="e">
        <f t="shared" si="2"/>
        <v>#REF!</v>
      </c>
      <c r="J23" s="80" t="e">
        <f t="shared" si="3"/>
        <v>#REF!</v>
      </c>
      <c r="K23" s="81" t="e">
        <f t="shared" si="4"/>
        <v>#REF!</v>
      </c>
      <c r="L23" s="82"/>
      <c r="M23" s="83" t="e">
        <f t="shared" si="5"/>
        <v>#REF!</v>
      </c>
      <c r="N23" s="84" t="e">
        <f>R53</f>
        <v>#REF!</v>
      </c>
      <c r="O23" s="85" t="e">
        <f t="shared" si="13"/>
        <v>#REF!</v>
      </c>
      <c r="P23" s="84" t="e">
        <f>#REF!*#REF!/10000</f>
        <v>#REF!</v>
      </c>
      <c r="Q23" s="85" t="e">
        <f t="shared" si="14"/>
        <v>#REF!</v>
      </c>
      <c r="R23" s="85" t="e">
        <f t="shared" si="15"/>
        <v>#REF!</v>
      </c>
      <c r="S23" s="86"/>
      <c r="T23" s="84" t="e">
        <f t="shared" si="6"/>
        <v>#REF!</v>
      </c>
      <c r="U23" s="84" t="e">
        <f t="shared" si="7"/>
        <v>#REF!</v>
      </c>
      <c r="V23" s="84" t="e">
        <f t="shared" si="8"/>
        <v>#REF!</v>
      </c>
      <c r="W23" s="89"/>
      <c r="X23" s="7"/>
      <c r="Y23" s="88"/>
      <c r="Z23" s="7"/>
      <c r="AA23" s="7"/>
      <c r="AB23" s="7"/>
      <c r="AC23" s="7"/>
      <c r="AD23" s="45"/>
      <c r="AE23" s="46"/>
      <c r="AF23" s="47"/>
      <c r="AG23" s="27"/>
      <c r="AH23" s="48"/>
      <c r="AI23" s="48"/>
      <c r="AJ23" s="48"/>
      <c r="AK23" s="48"/>
      <c r="AL23" s="48"/>
    </row>
    <row r="24" s="3" customFormat="1" ht="30" customHeight="1" spans="1:39">
      <c r="A24" s="66"/>
      <c r="B24" s="76" t="s">
        <v>243</v>
      </c>
      <c r="C24" s="77">
        <f t="shared" si="9"/>
        <v>0.903000000000001</v>
      </c>
      <c r="D24" s="78" t="e">
        <f t="shared" si="0"/>
        <v>#REF!</v>
      </c>
      <c r="E24" s="78" t="e">
        <f t="shared" si="10"/>
        <v>#REF!</v>
      </c>
      <c r="F24" s="78"/>
      <c r="G24" s="78" t="e">
        <f t="shared" si="1"/>
        <v>#REF!</v>
      </c>
      <c r="H24" s="79" t="e">
        <f t="shared" si="12"/>
        <v>#REF!</v>
      </c>
      <c r="I24" s="78" t="e">
        <f t="shared" si="2"/>
        <v>#REF!</v>
      </c>
      <c r="J24" s="80" t="e">
        <f t="shared" si="3"/>
        <v>#REF!</v>
      </c>
      <c r="K24" s="81" t="e">
        <f t="shared" si="4"/>
        <v>#REF!</v>
      </c>
      <c r="L24" s="82"/>
      <c r="M24" s="83" t="e">
        <f t="shared" si="5"/>
        <v>#REF!</v>
      </c>
      <c r="N24" s="84" t="e">
        <f>S53</f>
        <v>#REF!</v>
      </c>
      <c r="O24" s="85" t="e">
        <f t="shared" si="13"/>
        <v>#REF!</v>
      </c>
      <c r="P24" s="84" t="e">
        <f>#REF!*#REF!/10000</f>
        <v>#REF!</v>
      </c>
      <c r="Q24" s="85" t="e">
        <f t="shared" si="14"/>
        <v>#REF!</v>
      </c>
      <c r="R24" s="85" t="e">
        <f t="shared" si="15"/>
        <v>#REF!</v>
      </c>
      <c r="S24" s="86"/>
      <c r="T24" s="84" t="e">
        <f t="shared" si="6"/>
        <v>#REF!</v>
      </c>
      <c r="U24" s="84" t="e">
        <f t="shared" si="7"/>
        <v>#REF!</v>
      </c>
      <c r="V24" s="84" t="e">
        <f t="shared" si="8"/>
        <v>#REF!</v>
      </c>
      <c r="W24" s="89"/>
      <c r="X24" s="7"/>
      <c r="Y24" s="88"/>
      <c r="Z24" s="7"/>
      <c r="AA24" s="7"/>
      <c r="AB24" s="7"/>
      <c r="AC24" s="7"/>
      <c r="AD24" s="45"/>
      <c r="AE24" s="46"/>
      <c r="AF24" s="47"/>
      <c r="AG24" s="27"/>
      <c r="AH24" s="48"/>
      <c r="AI24" s="48"/>
      <c r="AJ24" s="48"/>
      <c r="AK24" s="48"/>
      <c r="AL24" s="48"/>
    </row>
    <row r="25" s="3" customFormat="1" ht="30" customHeight="1" spans="1:39">
      <c r="A25" s="66"/>
      <c r="B25" s="76" t="s">
        <v>244</v>
      </c>
      <c r="C25" s="77">
        <f t="shared" si="9"/>
        <v>0.897500000000001</v>
      </c>
      <c r="D25" s="78" t="e">
        <f t="shared" si="0"/>
        <v>#REF!</v>
      </c>
      <c r="E25" s="78" t="e">
        <f t="shared" si="10"/>
        <v>#REF!</v>
      </c>
      <c r="F25" s="78"/>
      <c r="G25" s="78" t="e">
        <f t="shared" si="1"/>
        <v>#REF!</v>
      </c>
      <c r="H25" s="79" t="e">
        <f t="shared" si="12"/>
        <v>#REF!</v>
      </c>
      <c r="I25" s="78" t="e">
        <f t="shared" si="2"/>
        <v>#REF!</v>
      </c>
      <c r="J25" s="80" t="e">
        <f t="shared" si="3"/>
        <v>#REF!</v>
      </c>
      <c r="K25" s="81" t="e">
        <f t="shared" si="4"/>
        <v>#REF!</v>
      </c>
      <c r="L25" s="82"/>
      <c r="M25" s="83" t="e">
        <f t="shared" si="5"/>
        <v>#REF!</v>
      </c>
      <c r="N25" s="84" t="e">
        <f>T53</f>
        <v>#REF!</v>
      </c>
      <c r="O25" s="85" t="e">
        <f t="shared" si="13"/>
        <v>#REF!</v>
      </c>
      <c r="P25" s="84" t="e">
        <f>#REF!*#REF!/10000</f>
        <v>#REF!</v>
      </c>
      <c r="Q25" s="85" t="e">
        <f t="shared" si="14"/>
        <v>#REF!</v>
      </c>
      <c r="R25" s="85" t="e">
        <f t="shared" si="15"/>
        <v>#REF!</v>
      </c>
      <c r="S25" s="86"/>
      <c r="T25" s="84" t="e">
        <f t="shared" si="6"/>
        <v>#REF!</v>
      </c>
      <c r="U25" s="84" t="e">
        <f t="shared" si="7"/>
        <v>#REF!</v>
      </c>
      <c r="V25" s="84" t="e">
        <f t="shared" si="8"/>
        <v>#REF!</v>
      </c>
      <c r="W25" s="89"/>
      <c r="X25" s="7"/>
      <c r="Y25" s="88"/>
      <c r="Z25" s="7"/>
      <c r="AA25" s="7"/>
      <c r="AB25" s="7"/>
      <c r="AC25" s="7"/>
      <c r="AD25" s="7"/>
      <c r="AE25" s="26"/>
      <c r="AF25" s="26"/>
      <c r="AG25" s="27"/>
      <c r="AH25" s="48"/>
      <c r="AI25" s="48"/>
      <c r="AJ25" s="48"/>
      <c r="AK25" s="48"/>
      <c r="AL25" s="48"/>
      <c r="AM25" s="90"/>
    </row>
    <row r="26" s="3" customFormat="1" ht="30" customHeight="1" spans="1:39">
      <c r="A26" s="66"/>
      <c r="B26" s="76" t="s">
        <v>245</v>
      </c>
      <c r="C26" s="77">
        <f t="shared" si="9"/>
        <v>0.892000000000001</v>
      </c>
      <c r="D26" s="78" t="e">
        <f t="shared" si="0"/>
        <v>#REF!</v>
      </c>
      <c r="E26" s="78" t="e">
        <f t="shared" si="10"/>
        <v>#REF!</v>
      </c>
      <c r="F26" s="78"/>
      <c r="G26" s="78" t="e">
        <f t="shared" si="1"/>
        <v>#REF!</v>
      </c>
      <c r="H26" s="79" t="e">
        <f t="shared" si="12"/>
        <v>#REF!</v>
      </c>
      <c r="I26" s="78" t="e">
        <f t="shared" si="2"/>
        <v>#REF!</v>
      </c>
      <c r="J26" s="80" t="e">
        <f t="shared" si="3"/>
        <v>#REF!</v>
      </c>
      <c r="K26" s="81" t="e">
        <f t="shared" si="4"/>
        <v>#REF!</v>
      </c>
      <c r="L26" s="82"/>
      <c r="M26" s="83" t="e">
        <f t="shared" si="5"/>
        <v>#REF!</v>
      </c>
      <c r="N26" s="84" t="e">
        <f>U53</f>
        <v>#REF!</v>
      </c>
      <c r="O26" s="85" t="e">
        <f t="shared" si="13"/>
        <v>#REF!</v>
      </c>
      <c r="P26" s="84" t="e">
        <f>#REF!*#REF!/10000</f>
        <v>#REF!</v>
      </c>
      <c r="Q26" s="85" t="e">
        <f t="shared" si="14"/>
        <v>#REF!</v>
      </c>
      <c r="R26" s="85" t="e">
        <f t="shared" si="15"/>
        <v>#REF!</v>
      </c>
      <c r="S26" s="86"/>
      <c r="T26" s="84" t="e">
        <f t="shared" si="6"/>
        <v>#REF!</v>
      </c>
      <c r="U26" s="84" t="e">
        <f t="shared" si="7"/>
        <v>#REF!</v>
      </c>
      <c r="V26" s="84" t="e">
        <f t="shared" si="8"/>
        <v>#REF!</v>
      </c>
      <c r="W26" s="89"/>
      <c r="X26" s="7"/>
      <c r="Y26" s="88"/>
      <c r="Z26" s="7"/>
      <c r="AA26" s="7"/>
      <c r="AB26" s="7"/>
      <c r="AC26" s="7"/>
      <c r="AD26" s="45"/>
      <c r="AE26" s="46"/>
      <c r="AF26" s="47"/>
      <c r="AG26" s="27"/>
      <c r="AH26" s="48"/>
      <c r="AI26" s="48"/>
      <c r="AJ26" s="48"/>
      <c r="AK26" s="48"/>
      <c r="AL26" s="48"/>
      <c r="AM26" s="90"/>
    </row>
    <row r="27" s="3" customFormat="1" ht="30" customHeight="1" spans="1:39">
      <c r="A27" s="66"/>
      <c r="B27" s="76" t="s">
        <v>246</v>
      </c>
      <c r="C27" s="77">
        <f t="shared" si="9"/>
        <v>0.886500000000001</v>
      </c>
      <c r="D27" s="78" t="e">
        <f t="shared" si="0"/>
        <v>#REF!</v>
      </c>
      <c r="E27" s="78" t="e">
        <f t="shared" si="10"/>
        <v>#REF!</v>
      </c>
      <c r="F27" s="78"/>
      <c r="G27" s="78" t="e">
        <f t="shared" si="1"/>
        <v>#REF!</v>
      </c>
      <c r="H27" s="79" t="e">
        <f t="shared" si="12"/>
        <v>#REF!</v>
      </c>
      <c r="I27" s="78" t="e">
        <f t="shared" si="2"/>
        <v>#REF!</v>
      </c>
      <c r="J27" s="80" t="e">
        <f t="shared" si="3"/>
        <v>#REF!</v>
      </c>
      <c r="K27" s="81" t="e">
        <f t="shared" si="4"/>
        <v>#REF!</v>
      </c>
      <c r="L27" s="82"/>
      <c r="M27" s="83" t="e">
        <f t="shared" si="5"/>
        <v>#REF!</v>
      </c>
      <c r="N27" s="84" t="e">
        <f>V53</f>
        <v>#REF!</v>
      </c>
      <c r="O27" s="85" t="e">
        <f t="shared" si="13"/>
        <v>#REF!</v>
      </c>
      <c r="P27" s="84" t="e">
        <f>#REF!*#REF!/10000</f>
        <v>#REF!</v>
      </c>
      <c r="Q27" s="85" t="e">
        <f t="shared" si="14"/>
        <v>#REF!</v>
      </c>
      <c r="R27" s="85" t="e">
        <f t="shared" si="15"/>
        <v>#REF!</v>
      </c>
      <c r="S27" s="86"/>
      <c r="T27" s="84" t="e">
        <f t="shared" si="6"/>
        <v>#REF!</v>
      </c>
      <c r="U27" s="84" t="e">
        <f t="shared" si="7"/>
        <v>#REF!</v>
      </c>
      <c r="V27" s="84" t="e">
        <f t="shared" si="8"/>
        <v>#REF!</v>
      </c>
      <c r="W27" s="89"/>
      <c r="X27" s="7"/>
      <c r="Y27" s="88"/>
      <c r="Z27" s="7"/>
      <c r="AA27" s="7"/>
      <c r="AB27" s="7"/>
      <c r="AC27" s="7"/>
      <c r="AD27" s="45"/>
      <c r="AE27" s="46"/>
      <c r="AF27" s="47"/>
      <c r="AG27" s="27"/>
      <c r="AH27" s="48"/>
      <c r="AI27" s="48"/>
      <c r="AJ27" s="48"/>
      <c r="AK27" s="48"/>
      <c r="AL27" s="48"/>
      <c r="AM27" s="90"/>
    </row>
    <row r="28" s="3" customFormat="1" ht="30" customHeight="1" spans="1:39">
      <c r="A28" s="66"/>
      <c r="B28" s="76" t="s">
        <v>247</v>
      </c>
      <c r="C28" s="77">
        <f t="shared" si="9"/>
        <v>0.881000000000001</v>
      </c>
      <c r="D28" s="78" t="e">
        <f t="shared" si="0"/>
        <v>#REF!</v>
      </c>
      <c r="E28" s="78" t="e">
        <f t="shared" si="10"/>
        <v>#REF!</v>
      </c>
      <c r="F28" s="78"/>
      <c r="G28" s="78" t="e">
        <f t="shared" si="1"/>
        <v>#REF!</v>
      </c>
      <c r="H28" s="79" t="e">
        <f t="shared" si="12"/>
        <v>#REF!</v>
      </c>
      <c r="I28" s="78" t="e">
        <f t="shared" si="2"/>
        <v>#REF!</v>
      </c>
      <c r="J28" s="80" t="e">
        <f t="shared" si="3"/>
        <v>#REF!</v>
      </c>
      <c r="K28" s="81" t="e">
        <f t="shared" si="4"/>
        <v>#REF!</v>
      </c>
      <c r="L28" s="82"/>
      <c r="M28" s="83" t="e">
        <f t="shared" si="5"/>
        <v>#REF!</v>
      </c>
      <c r="N28" s="84" t="e">
        <f>W53</f>
        <v>#REF!</v>
      </c>
      <c r="O28" s="85" t="e">
        <f t="shared" si="13"/>
        <v>#REF!</v>
      </c>
      <c r="P28" s="84" t="e">
        <f>#REF!*#REF!/10000</f>
        <v>#REF!</v>
      </c>
      <c r="Q28" s="85" t="e">
        <f t="shared" si="14"/>
        <v>#REF!</v>
      </c>
      <c r="R28" s="85" t="e">
        <f t="shared" si="15"/>
        <v>#REF!</v>
      </c>
      <c r="S28" s="86"/>
      <c r="T28" s="84" t="e">
        <f t="shared" si="6"/>
        <v>#REF!</v>
      </c>
      <c r="U28" s="84" t="e">
        <f t="shared" si="7"/>
        <v>#REF!</v>
      </c>
      <c r="V28" s="84" t="e">
        <f t="shared" si="8"/>
        <v>#REF!</v>
      </c>
      <c r="W28" s="89"/>
      <c r="X28" s="7"/>
      <c r="Y28" s="88"/>
      <c r="Z28" s="7"/>
      <c r="AA28" s="7"/>
      <c r="AB28" s="7"/>
      <c r="AC28" s="7"/>
      <c r="AD28" s="7"/>
      <c r="AE28" s="26"/>
      <c r="AF28" s="26"/>
      <c r="AG28" s="27"/>
      <c r="AH28" s="48"/>
      <c r="AI28" s="48"/>
      <c r="AJ28" s="48"/>
      <c r="AK28" s="48"/>
      <c r="AL28" s="48"/>
      <c r="AM28" s="90"/>
    </row>
    <row r="29" s="3" customFormat="1" ht="30" customHeight="1" spans="1:39">
      <c r="A29" s="66"/>
      <c r="B29" s="76" t="s">
        <v>248</v>
      </c>
      <c r="C29" s="77">
        <f t="shared" si="9"/>
        <v>0.875500000000001</v>
      </c>
      <c r="D29" s="78" t="e">
        <f t="shared" si="0"/>
        <v>#REF!</v>
      </c>
      <c r="E29" s="78" t="e">
        <f t="shared" si="10"/>
        <v>#REF!</v>
      </c>
      <c r="F29" s="78"/>
      <c r="G29" s="78" t="e">
        <f t="shared" si="1"/>
        <v>#REF!</v>
      </c>
      <c r="H29" s="79" t="e">
        <f t="shared" si="12"/>
        <v>#REF!</v>
      </c>
      <c r="I29" s="78" t="e">
        <f t="shared" si="2"/>
        <v>#REF!</v>
      </c>
      <c r="J29" s="80" t="e">
        <f t="shared" si="3"/>
        <v>#REF!</v>
      </c>
      <c r="K29" s="80" t="e">
        <f t="shared" si="4"/>
        <v>#REF!</v>
      </c>
      <c r="L29" s="80"/>
      <c r="M29" s="83" t="e">
        <f t="shared" si="5"/>
        <v>#REF!</v>
      </c>
      <c r="N29" s="84" t="e">
        <f>X53</f>
        <v>#REF!</v>
      </c>
      <c r="O29" s="85" t="e">
        <f t="shared" si="13"/>
        <v>#REF!</v>
      </c>
      <c r="P29" s="84" t="e">
        <f>#REF!*#REF!/10000</f>
        <v>#REF!</v>
      </c>
      <c r="Q29" s="85" t="e">
        <f t="shared" si="14"/>
        <v>#REF!</v>
      </c>
      <c r="R29" s="85" t="e">
        <f t="shared" si="15"/>
        <v>#REF!</v>
      </c>
      <c r="S29" s="86"/>
      <c r="T29" s="84" t="e">
        <f t="shared" si="6"/>
        <v>#REF!</v>
      </c>
      <c r="U29" s="84" t="e">
        <f t="shared" si="7"/>
        <v>#REF!</v>
      </c>
      <c r="V29" s="84" t="e">
        <f t="shared" si="8"/>
        <v>#REF!</v>
      </c>
      <c r="W29" s="89"/>
      <c r="X29" s="7"/>
      <c r="Y29" s="88"/>
      <c r="Z29" s="7"/>
      <c r="AA29" s="7"/>
      <c r="AB29" s="7"/>
      <c r="AC29" s="7"/>
      <c r="AD29" s="45"/>
      <c r="AE29" s="46"/>
      <c r="AF29" s="47"/>
      <c r="AG29" s="27"/>
      <c r="AH29" s="48"/>
      <c r="AI29" s="48"/>
      <c r="AJ29" s="48"/>
      <c r="AK29" s="48"/>
      <c r="AL29" s="48"/>
    </row>
    <row r="30" s="3" customFormat="1" ht="30" hidden="1" customHeight="1" spans="1:39">
      <c r="A30" s="66"/>
      <c r="B30" s="76" t="s">
        <v>249</v>
      </c>
      <c r="C30" s="77"/>
      <c r="D30" s="78"/>
      <c r="E30" s="91"/>
      <c r="F30" s="78"/>
      <c r="G30" s="79"/>
      <c r="H30" s="78"/>
      <c r="I30" s="80"/>
      <c r="J30" s="92"/>
      <c r="K30" s="81"/>
      <c r="L30" s="82"/>
      <c r="M30" s="84"/>
      <c r="N30" s="85"/>
      <c r="O30" s="84"/>
      <c r="P30" s="85"/>
      <c r="Q30" s="85"/>
      <c r="R30" s="86"/>
      <c r="S30" s="84"/>
      <c r="T30" s="84"/>
      <c r="U30" s="84"/>
      <c r="V30" s="89"/>
      <c r="W30" s="7"/>
      <c r="X30" s="88"/>
      <c r="Y30" s="7"/>
      <c r="Z30" s="7"/>
      <c r="AA30" s="7"/>
      <c r="AB30" s="7"/>
      <c r="AC30" s="45"/>
      <c r="AD30" s="46"/>
      <c r="AE30" s="47"/>
      <c r="AF30" s="27"/>
      <c r="AG30" s="48"/>
      <c r="AH30" s="48"/>
      <c r="AI30" s="48"/>
      <c r="AJ30" s="48"/>
      <c r="AK30" s="48"/>
    </row>
    <row r="31" s="3" customFormat="1" ht="30" hidden="1" customHeight="1" spans="1:39">
      <c r="A31" s="66"/>
      <c r="B31" s="76" t="s">
        <v>250</v>
      </c>
      <c r="C31" s="77"/>
      <c r="D31" s="78"/>
      <c r="E31" s="91"/>
      <c r="F31" s="78"/>
      <c r="G31" s="79"/>
      <c r="H31" s="78"/>
      <c r="I31" s="80"/>
      <c r="J31" s="92"/>
      <c r="K31" s="81"/>
      <c r="L31" s="82"/>
      <c r="M31" s="84"/>
      <c r="N31" s="85"/>
      <c r="O31" s="84"/>
      <c r="P31" s="85"/>
      <c r="Q31" s="85"/>
      <c r="R31" s="86"/>
      <c r="S31" s="84"/>
      <c r="T31" s="84"/>
      <c r="U31" s="84"/>
      <c r="V31" s="89"/>
      <c r="W31" s="7"/>
      <c r="X31" s="88"/>
      <c r="Y31" s="7"/>
      <c r="Z31" s="7"/>
      <c r="AA31" s="7"/>
      <c r="AB31" s="7"/>
      <c r="AC31" s="45"/>
      <c r="AD31" s="46"/>
      <c r="AE31" s="47"/>
      <c r="AF31" s="27"/>
      <c r="AG31" s="48"/>
      <c r="AH31" s="48"/>
      <c r="AI31" s="48"/>
      <c r="AJ31" s="48"/>
      <c r="AK31" s="48"/>
    </row>
    <row r="32" s="3" customFormat="1" ht="30" hidden="1" customHeight="1" spans="1:39">
      <c r="A32" s="66"/>
      <c r="B32" s="76" t="s">
        <v>251</v>
      </c>
      <c r="C32" s="77"/>
      <c r="D32" s="78"/>
      <c r="E32" s="91"/>
      <c r="F32" s="78"/>
      <c r="G32" s="79"/>
      <c r="H32" s="78"/>
      <c r="I32" s="80"/>
      <c r="J32" s="92"/>
      <c r="K32" s="81"/>
      <c r="L32" s="82"/>
      <c r="M32" s="84"/>
      <c r="N32" s="85"/>
      <c r="O32" s="84"/>
      <c r="P32" s="85"/>
      <c r="Q32" s="85"/>
      <c r="R32" s="86"/>
      <c r="S32" s="84"/>
      <c r="T32" s="84"/>
      <c r="U32" s="84"/>
      <c r="V32" s="89"/>
      <c r="W32" s="7"/>
      <c r="X32" s="88"/>
      <c r="Y32" s="7"/>
      <c r="Z32" s="7"/>
      <c r="AA32" s="7"/>
      <c r="AB32" s="7"/>
      <c r="AC32" s="45"/>
      <c r="AD32" s="46"/>
      <c r="AE32" s="47"/>
      <c r="AF32" s="27"/>
      <c r="AG32" s="48"/>
      <c r="AH32" s="48"/>
      <c r="AI32" s="48"/>
      <c r="AJ32" s="48"/>
      <c r="AK32" s="48"/>
    </row>
    <row r="33" s="3" customFormat="1" ht="30" hidden="1" customHeight="1" spans="1:37">
      <c r="A33" s="66"/>
      <c r="B33" s="76" t="s">
        <v>252</v>
      </c>
      <c r="C33" s="77"/>
      <c r="D33" s="78"/>
      <c r="E33" s="91"/>
      <c r="F33" s="78"/>
      <c r="G33" s="79"/>
      <c r="H33" s="78"/>
      <c r="I33" s="80"/>
      <c r="J33" s="92"/>
      <c r="K33" s="81"/>
      <c r="L33" s="82"/>
      <c r="M33" s="84"/>
      <c r="N33" s="85"/>
      <c r="O33" s="84"/>
      <c r="P33" s="85"/>
      <c r="Q33" s="85"/>
      <c r="R33" s="86"/>
      <c r="S33" s="84"/>
      <c r="T33" s="84"/>
      <c r="U33" s="84"/>
      <c r="V33" s="89"/>
      <c r="W33" s="7"/>
      <c r="X33" s="88"/>
      <c r="Y33" s="7"/>
      <c r="Z33" s="7"/>
      <c r="AA33" s="7"/>
      <c r="AB33" s="7"/>
      <c r="AC33" s="45"/>
      <c r="AD33" s="46"/>
      <c r="AE33" s="47"/>
      <c r="AF33" s="27"/>
      <c r="AG33" s="48"/>
      <c r="AH33" s="48"/>
      <c r="AI33" s="48"/>
      <c r="AJ33" s="48"/>
      <c r="AK33" s="48"/>
    </row>
    <row r="34" s="3" customFormat="1" ht="30" hidden="1" customHeight="1" spans="1:37">
      <c r="A34" s="66"/>
      <c r="B34" s="76" t="s">
        <v>253</v>
      </c>
      <c r="C34" s="77"/>
      <c r="D34" s="78"/>
      <c r="E34" s="91"/>
      <c r="F34" s="78"/>
      <c r="G34" s="79"/>
      <c r="H34" s="78"/>
      <c r="I34" s="80"/>
      <c r="J34" s="92"/>
      <c r="K34" s="81"/>
      <c r="L34" s="82"/>
      <c r="M34" s="84"/>
      <c r="N34" s="85"/>
      <c r="O34" s="84"/>
      <c r="P34" s="85"/>
      <c r="Q34" s="85"/>
      <c r="R34" s="86"/>
      <c r="S34" s="84"/>
      <c r="T34" s="84"/>
      <c r="U34" s="84"/>
      <c r="V34" s="89"/>
      <c r="W34" s="7"/>
      <c r="X34" s="88"/>
      <c r="Y34" s="7"/>
      <c r="Z34" s="7"/>
      <c r="AA34" s="7"/>
      <c r="AB34" s="7"/>
      <c r="AC34" s="45"/>
      <c r="AD34" s="46"/>
      <c r="AE34" s="47"/>
      <c r="AF34" s="27"/>
      <c r="AG34" s="48"/>
      <c r="AH34" s="48"/>
      <c r="AI34" s="48"/>
      <c r="AJ34" s="48"/>
      <c r="AK34" s="48"/>
    </row>
    <row r="35" s="3" customFormat="1" ht="30" customHeight="1" spans="1:37">
      <c r="A35" s="5"/>
      <c r="B35" s="93" t="s">
        <v>254</v>
      </c>
      <c r="C35" s="93"/>
      <c r="D35" s="78" t="e">
        <f t="shared" ref="D35:I35" si="16">ROUND(D36/$L$5,4)</f>
        <v>#REF!</v>
      </c>
      <c r="E35" s="78" t="e">
        <f t="shared" si="16"/>
        <v>#REF!</v>
      </c>
      <c r="F35" s="78" t="e">
        <f t="shared" si="16"/>
        <v>#REF!</v>
      </c>
      <c r="G35" s="78" t="e">
        <f t="shared" si="16"/>
        <v>#REF!</v>
      </c>
      <c r="H35" s="94"/>
      <c r="I35" s="80" t="e">
        <f t="shared" si="16"/>
        <v>#REF!</v>
      </c>
      <c r="J35" s="80" t="e">
        <f t="shared" ref="J35:O35" si="17">J36/$L$5</f>
        <v>#REF!</v>
      </c>
      <c r="K35" s="80" t="e">
        <f>K36/L5</f>
        <v>#REF!</v>
      </c>
      <c r="L35" s="80"/>
      <c r="M35" s="84" t="e">
        <f t="shared" si="17"/>
        <v>#REF!</v>
      </c>
      <c r="N35" s="85" t="e">
        <f t="shared" si="17"/>
        <v>#REF!</v>
      </c>
      <c r="O35" s="84" t="e">
        <f t="shared" si="17"/>
        <v>#REF!</v>
      </c>
      <c r="P35" s="85" t="e">
        <f>P36/L5</f>
        <v>#REF!</v>
      </c>
      <c r="Q35" s="85" t="e">
        <f t="shared" ref="Q35:V35" si="18">Q36/$L$5</f>
        <v>#REF!</v>
      </c>
      <c r="R35" s="86" t="e">
        <f>R36/($L$5-10)</f>
        <v>#REF!</v>
      </c>
      <c r="S35" s="78" t="e">
        <f>S36/10</f>
        <v>#REF!</v>
      </c>
      <c r="T35" s="78" t="e">
        <f t="shared" si="18"/>
        <v>#REF!</v>
      </c>
      <c r="U35" s="78" t="e">
        <f t="shared" si="18"/>
        <v>#REF!</v>
      </c>
      <c r="V35" s="78" t="e">
        <f t="shared" si="18"/>
        <v>#REF!</v>
      </c>
      <c r="W35" s="95"/>
      <c r="X35" s="88"/>
      <c r="Y35" s="7"/>
      <c r="Z35" s="7"/>
      <c r="AA35" s="7"/>
      <c r="AB35" s="7"/>
      <c r="AC35" s="45"/>
      <c r="AD35" s="46"/>
      <c r="AE35" s="47"/>
      <c r="AF35" s="27"/>
      <c r="AG35" s="48"/>
      <c r="AH35" s="48"/>
      <c r="AI35" s="48"/>
      <c r="AJ35" s="48"/>
      <c r="AK35" s="48"/>
    </row>
    <row r="36" s="3" customFormat="1" ht="30" customHeight="1" spans="1:37">
      <c r="A36" s="5"/>
      <c r="B36" s="96" t="e">
        <f>L5</f>
        <v>#REF!</v>
      </c>
      <c r="C36" s="96"/>
      <c r="D36" s="97" t="e">
        <f t="shared" ref="D36:I36" si="19">SUM(D10:D34)</f>
        <v>#REF!</v>
      </c>
      <c r="E36" s="97" t="e">
        <f t="shared" si="19"/>
        <v>#REF!</v>
      </c>
      <c r="F36" s="97" t="e">
        <f t="shared" si="19"/>
        <v>#REF!</v>
      </c>
      <c r="G36" s="97" t="e">
        <f t="shared" si="19"/>
        <v>#REF!</v>
      </c>
      <c r="H36" s="98"/>
      <c r="I36" s="99" t="e">
        <f t="shared" si="19"/>
        <v>#REF!</v>
      </c>
      <c r="J36" s="99" t="e">
        <f t="shared" ref="J36:V36" si="20">SUM(J10:J29)</f>
        <v>#REF!</v>
      </c>
      <c r="K36" s="97" t="e">
        <f>SUM(K10:L29)</f>
        <v>#REF!</v>
      </c>
      <c r="L36" s="97"/>
      <c r="M36" s="100" t="e">
        <f t="shared" si="20"/>
        <v>#REF!</v>
      </c>
      <c r="N36" s="100" t="e">
        <f t="shared" si="20"/>
        <v>#REF!</v>
      </c>
      <c r="O36" s="100" t="e">
        <f t="shared" si="20"/>
        <v>#REF!</v>
      </c>
      <c r="P36" s="100" t="e">
        <f t="shared" si="20"/>
        <v>#REF!</v>
      </c>
      <c r="Q36" s="100" t="e">
        <f t="shared" si="20"/>
        <v>#REF!</v>
      </c>
      <c r="R36" s="100" t="e">
        <f t="shared" si="20"/>
        <v>#REF!</v>
      </c>
      <c r="S36" s="100" t="e">
        <f t="shared" si="20"/>
        <v>#REF!</v>
      </c>
      <c r="T36" s="100" t="e">
        <f t="shared" si="20"/>
        <v>#REF!</v>
      </c>
      <c r="U36" s="100" t="e">
        <f t="shared" si="20"/>
        <v>#REF!</v>
      </c>
      <c r="V36" s="100" t="e">
        <f t="shared" si="20"/>
        <v>#REF!</v>
      </c>
      <c r="W36" s="95"/>
      <c r="X36" s="88"/>
      <c r="Y36" s="7"/>
      <c r="Z36" s="7"/>
      <c r="AA36" s="7"/>
      <c r="AB36" s="7"/>
      <c r="AC36" s="7"/>
      <c r="AD36" s="26"/>
      <c r="AE36" s="26"/>
      <c r="AF36" s="27"/>
      <c r="AG36" s="48"/>
      <c r="AH36" s="48"/>
      <c r="AI36" s="48"/>
      <c r="AJ36" s="48"/>
      <c r="AK36" s="48"/>
    </row>
    <row r="37" s="3" customFormat="1" ht="25" customHeight="1" spans="1:37">
      <c r="A37" s="5"/>
      <c r="B37" s="101"/>
      <c r="C37" s="101"/>
      <c r="D37" s="102"/>
      <c r="E37" s="103"/>
      <c r="F37" s="104"/>
      <c r="G37" s="105"/>
      <c r="H37" s="103"/>
      <c r="I37" s="104"/>
      <c r="J37" s="104"/>
      <c r="K37" s="104"/>
      <c r="L37" s="104"/>
      <c r="M37" s="106"/>
      <c r="N37" s="106"/>
      <c r="O37" s="106"/>
      <c r="P37" s="106"/>
      <c r="Q37" s="106"/>
      <c r="R37" s="106"/>
      <c r="S37" s="106"/>
      <c r="T37" s="106"/>
      <c r="U37" s="107"/>
      <c r="V37" s="108"/>
      <c r="W37" s="7"/>
      <c r="X37" s="7"/>
      <c r="Y37" s="7"/>
      <c r="Z37" s="7"/>
      <c r="AA37" s="7"/>
      <c r="AB37" s="7"/>
      <c r="AC37" s="7"/>
      <c r="AD37" s="26"/>
      <c r="AE37" s="27"/>
      <c r="AF37" s="27"/>
      <c r="AG37" s="48"/>
      <c r="AH37" s="48"/>
      <c r="AI37" s="48"/>
      <c r="AJ37" s="48"/>
      <c r="AK37" s="48"/>
    </row>
    <row r="38" s="3" customFormat="1" ht="39" customHeight="1" spans="1:37">
      <c r="A38" s="5"/>
      <c r="B38" s="109" t="e">
        <f>B1&amp;AE38</f>
        <v>#REF!</v>
      </c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10" t="s">
        <v>255</v>
      </c>
      <c r="AI38" s="48"/>
      <c r="AJ38" s="48"/>
    </row>
    <row r="39" s="3" customFormat="1" ht="25" customHeight="1" spans="1:37">
      <c r="A39" s="5"/>
      <c r="B39" s="111" t="s">
        <v>256</v>
      </c>
      <c r="C39" s="112"/>
      <c r="D39" s="113" t="s">
        <v>257</v>
      </c>
      <c r="E39" s="113" t="s">
        <v>229</v>
      </c>
      <c r="F39" s="113" t="s">
        <v>230</v>
      </c>
      <c r="G39" s="113" t="s">
        <v>231</v>
      </c>
      <c r="H39" s="113" t="s">
        <v>232</v>
      </c>
      <c r="I39" s="113" t="s">
        <v>233</v>
      </c>
      <c r="J39" s="113" t="s">
        <v>234</v>
      </c>
      <c r="K39" s="113" t="s">
        <v>235</v>
      </c>
      <c r="L39" s="113" t="s">
        <v>236</v>
      </c>
      <c r="M39" s="113" t="s">
        <v>237</v>
      </c>
      <c r="N39" s="113" t="s">
        <v>238</v>
      </c>
      <c r="O39" s="113" t="s">
        <v>239</v>
      </c>
      <c r="P39" s="113" t="s">
        <v>240</v>
      </c>
      <c r="Q39" s="113" t="s">
        <v>241</v>
      </c>
      <c r="R39" s="113" t="s">
        <v>242</v>
      </c>
      <c r="S39" s="113" t="s">
        <v>243</v>
      </c>
      <c r="T39" s="113" t="s">
        <v>244</v>
      </c>
      <c r="U39" s="113" t="s">
        <v>245</v>
      </c>
      <c r="V39" s="113" t="s">
        <v>246</v>
      </c>
      <c r="W39" s="113" t="s">
        <v>247</v>
      </c>
      <c r="X39" s="113" t="s">
        <v>248</v>
      </c>
      <c r="Y39" s="113" t="s">
        <v>249</v>
      </c>
      <c r="Z39" s="113" t="s">
        <v>250</v>
      </c>
      <c r="AA39" s="113" t="s">
        <v>251</v>
      </c>
      <c r="AB39" s="113" t="s">
        <v>252</v>
      </c>
      <c r="AC39" s="113" t="s">
        <v>253</v>
      </c>
      <c r="AD39" s="113" t="s">
        <v>30</v>
      </c>
      <c r="AE39" s="48"/>
      <c r="AG39" s="1"/>
      <c r="AH39" s="48"/>
      <c r="AI39" s="48"/>
    </row>
    <row r="40" s="3" customFormat="1" ht="25" customHeight="1" spans="1:37">
      <c r="A40" s="5"/>
      <c r="B40" s="114" t="s">
        <v>258</v>
      </c>
      <c r="C40" s="115"/>
      <c r="D40" s="116" t="e">
        <f>SUM(D41:D43)</f>
        <v>#REF!</v>
      </c>
      <c r="E40" s="116" t="e">
        <f t="shared" ref="E40:X40" si="21">E41+E42+E43</f>
        <v>#REF!</v>
      </c>
      <c r="F40" s="116" t="e">
        <f t="shared" si="21"/>
        <v>#REF!</v>
      </c>
      <c r="G40" s="116" t="e">
        <f t="shared" si="21"/>
        <v>#REF!</v>
      </c>
      <c r="H40" s="116" t="e">
        <f t="shared" si="21"/>
        <v>#REF!</v>
      </c>
      <c r="I40" s="116" t="e">
        <f t="shared" si="21"/>
        <v>#REF!</v>
      </c>
      <c r="J40" s="116" t="e">
        <f t="shared" si="21"/>
        <v>#REF!</v>
      </c>
      <c r="K40" s="116" t="e">
        <f t="shared" si="21"/>
        <v>#REF!</v>
      </c>
      <c r="L40" s="116" t="e">
        <f t="shared" si="21"/>
        <v>#REF!</v>
      </c>
      <c r="M40" s="116" t="e">
        <f t="shared" si="21"/>
        <v>#REF!</v>
      </c>
      <c r="N40" s="116" t="e">
        <f t="shared" si="21"/>
        <v>#REF!</v>
      </c>
      <c r="O40" s="116" t="e">
        <f t="shared" si="21"/>
        <v>#REF!</v>
      </c>
      <c r="P40" s="116" t="e">
        <f t="shared" si="21"/>
        <v>#REF!</v>
      </c>
      <c r="Q40" s="116" t="e">
        <f t="shared" si="21"/>
        <v>#REF!</v>
      </c>
      <c r="R40" s="116" t="e">
        <f t="shared" si="21"/>
        <v>#REF!</v>
      </c>
      <c r="S40" s="116" t="e">
        <f t="shared" si="21"/>
        <v>#REF!</v>
      </c>
      <c r="T40" s="116" t="e">
        <f t="shared" si="21"/>
        <v>#REF!</v>
      </c>
      <c r="U40" s="116" t="e">
        <f t="shared" si="21"/>
        <v>#REF!</v>
      </c>
      <c r="V40" s="116" t="e">
        <f t="shared" si="21"/>
        <v>#REF!</v>
      </c>
      <c r="W40" s="116" t="e">
        <f t="shared" si="21"/>
        <v>#REF!</v>
      </c>
      <c r="X40" s="116" t="e">
        <f t="shared" si="21"/>
        <v>#REF!</v>
      </c>
      <c r="Y40" s="116"/>
      <c r="Z40" s="116"/>
      <c r="AA40" s="116"/>
      <c r="AB40" s="116"/>
      <c r="AC40" s="116"/>
      <c r="AD40" s="117" t="e">
        <f t="shared" ref="AD40:AD50" si="22">SUM(E40:AC40)</f>
        <v>#REF!</v>
      </c>
      <c r="AE40" s="48"/>
      <c r="AF40" s="48"/>
      <c r="AG40" s="48"/>
      <c r="AH40" s="48"/>
      <c r="AI40" s="48"/>
    </row>
    <row r="41" s="3" customFormat="1" ht="25" customHeight="1" spans="1:37">
      <c r="A41" s="5"/>
      <c r="B41" s="118" t="s">
        <v>259</v>
      </c>
      <c r="C41" s="119"/>
      <c r="D41" s="120"/>
      <c r="E41" s="121" t="e">
        <f>J10</f>
        <v>#REF!</v>
      </c>
      <c r="F41" s="121" t="e">
        <f>J11</f>
        <v>#REF!</v>
      </c>
      <c r="G41" s="121" t="e">
        <f>J12</f>
        <v>#REF!</v>
      </c>
      <c r="H41" s="121" t="e">
        <f>J13</f>
        <v>#REF!</v>
      </c>
      <c r="I41" s="121" t="e">
        <f>J14</f>
        <v>#REF!</v>
      </c>
      <c r="J41" s="121" t="e">
        <f>J15</f>
        <v>#REF!</v>
      </c>
      <c r="K41" s="121" t="e">
        <f>J16</f>
        <v>#REF!</v>
      </c>
      <c r="L41" s="121" t="e">
        <f>J17</f>
        <v>#REF!</v>
      </c>
      <c r="M41" s="121" t="e">
        <f>J18</f>
        <v>#REF!</v>
      </c>
      <c r="N41" s="121" t="e">
        <f>J19</f>
        <v>#REF!</v>
      </c>
      <c r="O41" s="121" t="e">
        <f>J20</f>
        <v>#REF!</v>
      </c>
      <c r="P41" s="121" t="e">
        <f>J21</f>
        <v>#REF!</v>
      </c>
      <c r="Q41" s="121" t="e">
        <f>J22</f>
        <v>#REF!</v>
      </c>
      <c r="R41" s="121" t="e">
        <f>J23</f>
        <v>#REF!</v>
      </c>
      <c r="S41" s="121" t="e">
        <f>J24</f>
        <v>#REF!</v>
      </c>
      <c r="T41" s="121" t="e">
        <f>J25</f>
        <v>#REF!</v>
      </c>
      <c r="U41" s="121" t="e">
        <f>J26</f>
        <v>#REF!</v>
      </c>
      <c r="V41" s="121" t="e">
        <f>J27</f>
        <v>#REF!</v>
      </c>
      <c r="W41" s="121" t="e">
        <f>J28</f>
        <v>#REF!</v>
      </c>
      <c r="X41" s="121" t="e">
        <f>J29</f>
        <v>#REF!</v>
      </c>
      <c r="Y41" s="121"/>
      <c r="Z41" s="121"/>
      <c r="AA41" s="121"/>
      <c r="AB41" s="121"/>
      <c r="AC41" s="121"/>
      <c r="AD41" s="117" t="e">
        <f t="shared" si="22"/>
        <v>#REF!</v>
      </c>
      <c r="AE41" s="48"/>
      <c r="AF41" s="48"/>
      <c r="AG41" s="48"/>
      <c r="AH41" s="48"/>
      <c r="AI41" s="48"/>
    </row>
    <row r="42" s="4" customFormat="1" ht="25" customHeight="1" spans="1:37">
      <c r="A42" s="122"/>
      <c r="B42" s="123">
        <v>0.3</v>
      </c>
      <c r="C42" s="124" t="s">
        <v>260</v>
      </c>
      <c r="D42" s="120" t="e">
        <f>J2*B42</f>
        <v>#REF!</v>
      </c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5"/>
      <c r="U42" s="125"/>
      <c r="V42" s="126"/>
      <c r="W42" s="125"/>
      <c r="X42" s="125"/>
      <c r="Y42" s="127"/>
      <c r="Z42" s="95"/>
      <c r="AA42" s="128"/>
      <c r="AB42" s="129"/>
      <c r="AC42" s="130"/>
      <c r="AD42" s="117">
        <f t="shared" si="22"/>
        <v>0</v>
      </c>
      <c r="AE42" s="48"/>
      <c r="AF42" s="48"/>
      <c r="AG42" s="48"/>
      <c r="AH42" s="48"/>
      <c r="AI42" s="48"/>
    </row>
    <row r="43" s="3" customFormat="1" ht="25" customHeight="1" spans="1:37">
      <c r="A43" s="5"/>
      <c r="B43" s="131">
        <v>0.7</v>
      </c>
      <c r="C43" s="124" t="s">
        <v>261</v>
      </c>
      <c r="D43" s="132" t="e">
        <f>J2*B43</f>
        <v>#REF!</v>
      </c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5"/>
      <c r="U43" s="125"/>
      <c r="V43" s="125"/>
      <c r="W43" s="125"/>
      <c r="X43" s="125"/>
      <c r="Y43" s="133"/>
      <c r="Z43" s="95"/>
      <c r="AA43" s="95"/>
      <c r="AB43" s="134"/>
      <c r="AC43" s="134"/>
      <c r="AD43" s="117">
        <f t="shared" si="22"/>
        <v>0</v>
      </c>
      <c r="AE43" s="48"/>
      <c r="AF43" s="48"/>
      <c r="AG43" s="48"/>
      <c r="AH43" s="48"/>
      <c r="AI43" s="48"/>
    </row>
    <row r="44" s="3" customFormat="1" ht="25" customHeight="1" spans="1:37">
      <c r="A44" s="5"/>
      <c r="B44" s="114" t="s">
        <v>262</v>
      </c>
      <c r="C44" s="115"/>
      <c r="D44" s="132"/>
      <c r="E44" s="135"/>
      <c r="F44" s="135"/>
      <c r="G44" s="135"/>
      <c r="H44" s="135"/>
      <c r="I44" s="135"/>
      <c r="J44" s="135"/>
      <c r="K44" s="135"/>
      <c r="L44" s="135"/>
      <c r="M44" s="135"/>
      <c r="N44" s="135"/>
      <c r="O44" s="135"/>
      <c r="P44" s="135"/>
      <c r="Q44" s="135"/>
      <c r="R44" s="135"/>
      <c r="S44" s="135"/>
      <c r="T44" s="125"/>
      <c r="U44" s="125"/>
      <c r="V44" s="125"/>
      <c r="W44" s="125"/>
      <c r="X44" s="125"/>
      <c r="Y44" s="133"/>
      <c r="Z44" s="95"/>
      <c r="AA44" s="128"/>
      <c r="AB44" s="129"/>
      <c r="AC44" s="130"/>
      <c r="AD44" s="117">
        <f t="shared" si="22"/>
        <v>0</v>
      </c>
      <c r="AE44" s="48"/>
      <c r="AF44" s="48"/>
      <c r="AG44" s="48"/>
      <c r="AH44" s="48"/>
      <c r="AI44" s="48"/>
    </row>
    <row r="45" s="3" customFormat="1" ht="25" customHeight="1" spans="1:37">
      <c r="A45" s="5"/>
      <c r="B45" s="118" t="s">
        <v>263</v>
      </c>
      <c r="C45" s="119"/>
      <c r="D45" s="132" t="e">
        <f>J2</f>
        <v>#REF!</v>
      </c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36" t="e">
        <f>N4</f>
        <v>#REF!</v>
      </c>
      <c r="P45" s="121"/>
      <c r="Q45" s="121"/>
      <c r="R45" s="121"/>
      <c r="S45" s="121"/>
      <c r="T45" s="125"/>
      <c r="U45" s="125"/>
      <c r="V45" s="126"/>
      <c r="W45" s="125"/>
      <c r="X45" s="125"/>
      <c r="Y45" s="133"/>
      <c r="Z45" s="95"/>
      <c r="AA45" s="128"/>
      <c r="AB45" s="129"/>
      <c r="AC45" s="130"/>
      <c r="AD45" s="117" t="e">
        <f t="shared" si="22"/>
        <v>#REF!</v>
      </c>
      <c r="AE45" s="48"/>
      <c r="AF45" s="48"/>
      <c r="AG45" s="48"/>
      <c r="AH45" s="48"/>
      <c r="AI45" s="48"/>
    </row>
    <row r="46" s="3" customFormat="1" ht="25" customHeight="1" spans="1:37">
      <c r="A46" s="5"/>
      <c r="B46" s="137" t="e">
        <f>D43</f>
        <v>#REF!</v>
      </c>
      <c r="C46" s="138" t="s">
        <v>264</v>
      </c>
      <c r="D46" s="139"/>
      <c r="E46" s="140">
        <v>0</v>
      </c>
      <c r="F46" s="141" t="e">
        <f>D43*0.1</f>
        <v>#REF!</v>
      </c>
      <c r="G46" s="141" t="e">
        <f t="shared" ref="G46:N46" si="23">$D$43*0.1</f>
        <v>#REF!</v>
      </c>
      <c r="H46" s="141" t="e">
        <f t="shared" si="23"/>
        <v>#REF!</v>
      </c>
      <c r="I46" s="141" t="e">
        <f t="shared" si="23"/>
        <v>#REF!</v>
      </c>
      <c r="J46" s="141" t="e">
        <f t="shared" si="23"/>
        <v>#REF!</v>
      </c>
      <c r="K46" s="141" t="e">
        <f t="shared" si="23"/>
        <v>#REF!</v>
      </c>
      <c r="L46" s="141" t="e">
        <f t="shared" si="23"/>
        <v>#REF!</v>
      </c>
      <c r="M46" s="141" t="e">
        <f t="shared" si="23"/>
        <v>#REF!</v>
      </c>
      <c r="N46" s="141" t="e">
        <f t="shared" si="23"/>
        <v>#REF!</v>
      </c>
      <c r="O46" s="142" t="e">
        <f>D43*0.1</f>
        <v>#REF!</v>
      </c>
      <c r="P46" s="143"/>
      <c r="Q46" s="143"/>
      <c r="R46" s="143"/>
      <c r="S46" s="143"/>
      <c r="T46" s="125"/>
      <c r="U46" s="144"/>
      <c r="V46" s="125"/>
      <c r="W46" s="125"/>
      <c r="X46" s="125"/>
      <c r="Y46" s="133"/>
      <c r="Z46" s="95"/>
      <c r="AA46" s="95"/>
      <c r="AB46" s="134"/>
      <c r="AC46" s="134"/>
      <c r="AD46" s="117" t="e">
        <f t="shared" si="22"/>
        <v>#REF!</v>
      </c>
      <c r="AE46" s="48"/>
      <c r="AF46" s="48"/>
      <c r="AG46" s="48"/>
      <c r="AH46" s="48"/>
      <c r="AI46" s="48"/>
    </row>
    <row r="47" s="3" customFormat="1" ht="25" customHeight="1" spans="1:37">
      <c r="A47" s="5"/>
      <c r="B47" s="145" t="s">
        <v>265</v>
      </c>
      <c r="C47" s="124" t="s">
        <v>266</v>
      </c>
      <c r="D47" s="136"/>
      <c r="E47" s="146" t="e">
        <f>D43-E46</f>
        <v>#REF!</v>
      </c>
      <c r="F47" s="142" t="e">
        <f t="shared" ref="F47:O47" si="24">E47-F46</f>
        <v>#REF!</v>
      </c>
      <c r="G47" s="142" t="e">
        <f t="shared" si="24"/>
        <v>#REF!</v>
      </c>
      <c r="H47" s="142" t="e">
        <f t="shared" si="24"/>
        <v>#REF!</v>
      </c>
      <c r="I47" s="142" t="e">
        <f t="shared" si="24"/>
        <v>#REF!</v>
      </c>
      <c r="J47" s="142" t="e">
        <f t="shared" si="24"/>
        <v>#REF!</v>
      </c>
      <c r="K47" s="142" t="e">
        <f t="shared" si="24"/>
        <v>#REF!</v>
      </c>
      <c r="L47" s="142" t="e">
        <f t="shared" si="24"/>
        <v>#REF!</v>
      </c>
      <c r="M47" s="142" t="e">
        <f t="shared" si="24"/>
        <v>#REF!</v>
      </c>
      <c r="N47" s="142" t="e">
        <f t="shared" si="24"/>
        <v>#REF!</v>
      </c>
      <c r="O47" s="140" t="e">
        <f t="shared" si="24"/>
        <v>#REF!</v>
      </c>
      <c r="P47" s="121"/>
      <c r="Q47" s="121"/>
      <c r="R47" s="121"/>
      <c r="S47" s="121"/>
      <c r="T47" s="125"/>
      <c r="U47" s="144"/>
      <c r="V47" s="125"/>
      <c r="W47" s="125"/>
      <c r="X47" s="125"/>
      <c r="Y47" s="133"/>
      <c r="Z47" s="95"/>
      <c r="AA47" s="128"/>
      <c r="AB47" s="129"/>
      <c r="AC47" s="130"/>
      <c r="AD47" s="117" t="e">
        <f t="shared" si="22"/>
        <v>#REF!</v>
      </c>
      <c r="AE47" s="48"/>
      <c r="AF47" s="48"/>
      <c r="AG47" s="48"/>
      <c r="AH47" s="48"/>
      <c r="AI47" s="48"/>
    </row>
    <row r="48" s="3" customFormat="1" ht="25" customHeight="1" spans="1:37">
      <c r="A48" s="5"/>
      <c r="B48" s="118" t="s">
        <v>267</v>
      </c>
      <c r="C48" s="119"/>
      <c r="D48" s="136"/>
      <c r="E48" s="141" t="e">
        <f t="shared" ref="E48:O48" si="25">E47*$L$4</f>
        <v>#REF!</v>
      </c>
      <c r="F48" s="141" t="e">
        <f t="shared" si="25"/>
        <v>#REF!</v>
      </c>
      <c r="G48" s="141" t="e">
        <f t="shared" si="25"/>
        <v>#REF!</v>
      </c>
      <c r="H48" s="141" t="e">
        <f t="shared" si="25"/>
        <v>#REF!</v>
      </c>
      <c r="I48" s="141" t="e">
        <f t="shared" si="25"/>
        <v>#REF!</v>
      </c>
      <c r="J48" s="141" t="e">
        <f t="shared" si="25"/>
        <v>#REF!</v>
      </c>
      <c r="K48" s="141" t="e">
        <f t="shared" si="25"/>
        <v>#REF!</v>
      </c>
      <c r="L48" s="141" t="e">
        <f t="shared" si="25"/>
        <v>#REF!</v>
      </c>
      <c r="M48" s="141" t="e">
        <f t="shared" si="25"/>
        <v>#REF!</v>
      </c>
      <c r="N48" s="141" t="e">
        <f t="shared" si="25"/>
        <v>#REF!</v>
      </c>
      <c r="O48" s="141" t="e">
        <f t="shared" si="25"/>
        <v>#REF!</v>
      </c>
      <c r="P48" s="116"/>
      <c r="Q48" s="116">
        <f t="shared" ref="Q48:S48" si="26">P47*$L$4</f>
        <v>0</v>
      </c>
      <c r="R48" s="116">
        <f t="shared" si="26"/>
        <v>0</v>
      </c>
      <c r="S48" s="116">
        <f t="shared" si="26"/>
        <v>0</v>
      </c>
      <c r="T48" s="125"/>
      <c r="U48" s="144"/>
      <c r="V48" s="126"/>
      <c r="W48" s="125"/>
      <c r="X48" s="125"/>
      <c r="Y48" s="133"/>
      <c r="Z48" s="95"/>
      <c r="AA48" s="128"/>
      <c r="AB48" s="129"/>
      <c r="AC48" s="130"/>
      <c r="AD48" s="117" t="e">
        <f t="shared" si="22"/>
        <v>#REF!</v>
      </c>
      <c r="AE48" s="48"/>
      <c r="AF48" s="48"/>
      <c r="AG48" s="48"/>
      <c r="AH48" s="48"/>
      <c r="AI48" s="48"/>
    </row>
    <row r="49" s="3" customFormat="1" ht="25" customHeight="1" spans="1:35">
      <c r="A49" s="5"/>
      <c r="B49" s="118" t="s">
        <v>268</v>
      </c>
      <c r="C49" s="119"/>
      <c r="D49" s="136"/>
      <c r="E49" s="121" t="e">
        <f>P10+Q10</f>
        <v>#REF!</v>
      </c>
      <c r="F49" s="121" t="e">
        <f>P11+Q11</f>
        <v>#REF!</v>
      </c>
      <c r="G49" s="121" t="e">
        <f>P12+Q12</f>
        <v>#REF!</v>
      </c>
      <c r="H49" s="121" t="e">
        <f>P13+Q13</f>
        <v>#REF!</v>
      </c>
      <c r="I49" s="121" t="e">
        <f>P14+Q14</f>
        <v>#REF!</v>
      </c>
      <c r="J49" s="121" t="e">
        <f>P15+Q15</f>
        <v>#REF!</v>
      </c>
      <c r="K49" s="121" t="e">
        <f>P16+Q16</f>
        <v>#REF!</v>
      </c>
      <c r="L49" s="121" t="e">
        <f>P17+Q17</f>
        <v>#REF!</v>
      </c>
      <c r="M49" s="121" t="e">
        <f>P18+Q18</f>
        <v>#REF!</v>
      </c>
      <c r="N49" s="121" t="e">
        <f>P19+Q19</f>
        <v>#REF!</v>
      </c>
      <c r="O49" s="121" t="e">
        <f>P20+Q20</f>
        <v>#REF!</v>
      </c>
      <c r="P49" s="121" t="e">
        <f>P21+Q21</f>
        <v>#REF!</v>
      </c>
      <c r="Q49" s="121" t="e">
        <f>P22+Q22</f>
        <v>#REF!</v>
      </c>
      <c r="R49" s="121" t="e">
        <f>P23+Q23</f>
        <v>#REF!</v>
      </c>
      <c r="S49" s="121" t="e">
        <f>P24+Q24</f>
        <v>#REF!</v>
      </c>
      <c r="T49" s="121" t="e">
        <f>P25+Q25</f>
        <v>#REF!</v>
      </c>
      <c r="U49" s="147" t="e">
        <f>P26+Q26</f>
        <v>#REF!</v>
      </c>
      <c r="V49" s="121" t="e">
        <f>P27+Q27</f>
        <v>#REF!</v>
      </c>
      <c r="W49" s="121" t="e">
        <f>P28+Q28</f>
        <v>#REF!</v>
      </c>
      <c r="X49" s="121" t="e">
        <f>P29+Q29</f>
        <v>#REF!</v>
      </c>
      <c r="Y49" s="121"/>
      <c r="Z49" s="121"/>
      <c r="AA49" s="121"/>
      <c r="AB49" s="121"/>
      <c r="AC49" s="121"/>
      <c r="AD49" s="117" t="e">
        <f t="shared" si="22"/>
        <v>#REF!</v>
      </c>
      <c r="AE49" s="48"/>
      <c r="AF49" s="48"/>
      <c r="AG49" s="48"/>
      <c r="AH49" s="48"/>
      <c r="AI49" s="48"/>
    </row>
    <row r="50" s="3" customFormat="1" ht="25" customHeight="1" spans="1:35">
      <c r="A50" s="5"/>
      <c r="B50" s="118" t="s">
        <v>269</v>
      </c>
      <c r="C50" s="119"/>
      <c r="D50" s="136"/>
      <c r="E50" s="121" t="e">
        <f>M10</f>
        <v>#REF!</v>
      </c>
      <c r="F50" s="121" t="e">
        <f>M11</f>
        <v>#REF!</v>
      </c>
      <c r="G50" s="121" t="e">
        <f>M12</f>
        <v>#REF!</v>
      </c>
      <c r="H50" s="121" t="e">
        <f>M13</f>
        <v>#REF!</v>
      </c>
      <c r="I50" s="121" t="e">
        <f>M14</f>
        <v>#REF!</v>
      </c>
      <c r="J50" s="121" t="e">
        <f>M15</f>
        <v>#REF!</v>
      </c>
      <c r="K50" s="121" t="e">
        <f>M16</f>
        <v>#REF!</v>
      </c>
      <c r="L50" s="121" t="e">
        <f>M17</f>
        <v>#REF!</v>
      </c>
      <c r="M50" s="121" t="e">
        <f>M18</f>
        <v>#REF!</v>
      </c>
      <c r="N50" s="121" t="e">
        <f>M19</f>
        <v>#REF!</v>
      </c>
      <c r="O50" s="121" t="e">
        <f>M20</f>
        <v>#REF!</v>
      </c>
      <c r="P50" s="121" t="e">
        <f>M21</f>
        <v>#REF!</v>
      </c>
      <c r="Q50" s="121" t="e">
        <f>M22</f>
        <v>#REF!</v>
      </c>
      <c r="R50" s="121" t="e">
        <f>M23</f>
        <v>#REF!</v>
      </c>
      <c r="S50" s="121" t="e">
        <f>M24</f>
        <v>#REF!</v>
      </c>
      <c r="T50" s="148" t="e">
        <f>M25</f>
        <v>#REF!</v>
      </c>
      <c r="U50" s="149" t="e">
        <f>M26</f>
        <v>#REF!</v>
      </c>
      <c r="V50" s="148" t="e">
        <f>M27</f>
        <v>#REF!</v>
      </c>
      <c r="W50" s="148" t="e">
        <f>M28</f>
        <v>#REF!</v>
      </c>
      <c r="X50" s="148" t="e">
        <f>M29</f>
        <v>#REF!</v>
      </c>
      <c r="Y50" s="148"/>
      <c r="Z50" s="148"/>
      <c r="AA50" s="148"/>
      <c r="AB50" s="148"/>
      <c r="AC50" s="148"/>
      <c r="AD50" s="117" t="e">
        <f t="shared" si="22"/>
        <v>#REF!</v>
      </c>
      <c r="AE50" s="48"/>
      <c r="AF50" s="48"/>
      <c r="AG50" s="48"/>
      <c r="AH50" s="48"/>
      <c r="AI50" s="48"/>
    </row>
    <row r="51" s="3" customFormat="1" ht="25" customHeight="1" spans="1:35">
      <c r="A51" s="5"/>
      <c r="B51" s="118" t="s">
        <v>270</v>
      </c>
      <c r="C51" s="119"/>
      <c r="D51" s="136" t="e">
        <f>N2</f>
        <v>#REF!</v>
      </c>
      <c r="E51" s="121" t="e">
        <f>N2</f>
        <v>#REF!</v>
      </c>
      <c r="F51" s="121" t="e">
        <f t="shared" ref="F51:N51" si="27">IF(E50&lt;E51,E51-E50,0)</f>
        <v>#REF!</v>
      </c>
      <c r="G51" s="121" t="e">
        <f t="shared" si="27"/>
        <v>#REF!</v>
      </c>
      <c r="H51" s="121" t="e">
        <f t="shared" si="27"/>
        <v>#REF!</v>
      </c>
      <c r="I51" s="121" t="e">
        <f t="shared" si="27"/>
        <v>#REF!</v>
      </c>
      <c r="J51" s="121" t="e">
        <f t="shared" si="27"/>
        <v>#REF!</v>
      </c>
      <c r="K51" s="121" t="e">
        <f t="shared" si="27"/>
        <v>#REF!</v>
      </c>
      <c r="L51" s="121" t="e">
        <f t="shared" si="27"/>
        <v>#REF!</v>
      </c>
      <c r="M51" s="121" t="e">
        <f t="shared" si="27"/>
        <v>#REF!</v>
      </c>
      <c r="N51" s="121" t="e">
        <f t="shared" si="27"/>
        <v>#REF!</v>
      </c>
      <c r="O51" s="121" t="e">
        <f>N5*0.13</f>
        <v>#REF!</v>
      </c>
      <c r="P51" s="121" t="e">
        <f t="shared" ref="P51:X51" si="28">IF(O50&lt;O51,O51-O50,0)</f>
        <v>#REF!</v>
      </c>
      <c r="Q51" s="121" t="e">
        <f t="shared" si="28"/>
        <v>#REF!</v>
      </c>
      <c r="R51" s="121" t="e">
        <f t="shared" si="28"/>
        <v>#REF!</v>
      </c>
      <c r="S51" s="121" t="e">
        <f t="shared" si="28"/>
        <v>#REF!</v>
      </c>
      <c r="T51" s="121" t="e">
        <f t="shared" si="28"/>
        <v>#REF!</v>
      </c>
      <c r="U51" s="121" t="e">
        <f t="shared" si="28"/>
        <v>#REF!</v>
      </c>
      <c r="V51" s="121" t="e">
        <f t="shared" si="28"/>
        <v>#REF!</v>
      </c>
      <c r="W51" s="121" t="e">
        <f t="shared" si="28"/>
        <v>#REF!</v>
      </c>
      <c r="X51" s="121" t="e">
        <f t="shared" si="28"/>
        <v>#REF!</v>
      </c>
      <c r="Y51" s="121"/>
      <c r="Z51" s="121"/>
      <c r="AA51" s="121"/>
      <c r="AB51" s="121"/>
      <c r="AC51" s="121"/>
      <c r="AD51" s="117" t="e">
        <f t="shared" ref="AD51:AD54" si="29">SUM(E51:X51)</f>
        <v>#REF!</v>
      </c>
      <c r="AE51" s="48"/>
      <c r="AF51" s="48"/>
      <c r="AG51" s="48"/>
      <c r="AH51" s="48"/>
      <c r="AI51" s="48"/>
    </row>
    <row r="52" s="3" customFormat="1" ht="25" customHeight="1" spans="1:35">
      <c r="A52" s="5"/>
      <c r="B52" s="118" t="s">
        <v>271</v>
      </c>
      <c r="C52" s="119"/>
      <c r="D52" s="136"/>
      <c r="E52" s="121" t="e">
        <f t="shared" ref="E52:X52" si="30">IF((E50-E51)&lt;0,0,(E50-E51))</f>
        <v>#REF!</v>
      </c>
      <c r="F52" s="121" t="e">
        <f t="shared" si="30"/>
        <v>#REF!</v>
      </c>
      <c r="G52" s="121" t="e">
        <f t="shared" si="30"/>
        <v>#REF!</v>
      </c>
      <c r="H52" s="121" t="e">
        <f t="shared" si="30"/>
        <v>#REF!</v>
      </c>
      <c r="I52" s="121" t="e">
        <f t="shared" si="30"/>
        <v>#REF!</v>
      </c>
      <c r="J52" s="121" t="e">
        <f t="shared" si="30"/>
        <v>#REF!</v>
      </c>
      <c r="K52" s="121" t="e">
        <f t="shared" si="30"/>
        <v>#REF!</v>
      </c>
      <c r="L52" s="121" t="e">
        <f t="shared" si="30"/>
        <v>#REF!</v>
      </c>
      <c r="M52" s="121" t="e">
        <f t="shared" si="30"/>
        <v>#REF!</v>
      </c>
      <c r="N52" s="121" t="e">
        <f t="shared" si="30"/>
        <v>#REF!</v>
      </c>
      <c r="O52" s="121" t="e">
        <f t="shared" si="30"/>
        <v>#REF!</v>
      </c>
      <c r="P52" s="121" t="e">
        <f t="shared" si="30"/>
        <v>#REF!</v>
      </c>
      <c r="Q52" s="121" t="e">
        <f t="shared" si="30"/>
        <v>#REF!</v>
      </c>
      <c r="R52" s="121" t="e">
        <f t="shared" si="30"/>
        <v>#REF!</v>
      </c>
      <c r="S52" s="121" t="e">
        <f t="shared" si="30"/>
        <v>#REF!</v>
      </c>
      <c r="T52" s="121" t="e">
        <f t="shared" si="30"/>
        <v>#REF!</v>
      </c>
      <c r="U52" s="147" t="e">
        <f t="shared" si="30"/>
        <v>#REF!</v>
      </c>
      <c r="V52" s="121" t="e">
        <f t="shared" si="30"/>
        <v>#REF!</v>
      </c>
      <c r="W52" s="121" t="e">
        <f t="shared" si="30"/>
        <v>#REF!</v>
      </c>
      <c r="X52" s="121" t="e">
        <f t="shared" si="30"/>
        <v>#REF!</v>
      </c>
      <c r="Y52" s="121"/>
      <c r="Z52" s="121"/>
      <c r="AA52" s="121"/>
      <c r="AB52" s="121"/>
      <c r="AC52" s="121"/>
      <c r="AD52" s="117" t="e">
        <f t="shared" si="29"/>
        <v>#REF!</v>
      </c>
      <c r="AE52" s="1"/>
      <c r="AF52" s="1"/>
    </row>
    <row r="53" s="3" customFormat="1" ht="25" customHeight="1" spans="1:35">
      <c r="A53" s="5"/>
      <c r="B53" s="118" t="s">
        <v>272</v>
      </c>
      <c r="C53" s="119"/>
      <c r="D53" s="136"/>
      <c r="E53" s="150" t="e">
        <f t="shared" ref="E53:X53" si="31">E52*$N$6</f>
        <v>#REF!</v>
      </c>
      <c r="F53" s="150" t="e">
        <f t="shared" si="31"/>
        <v>#REF!</v>
      </c>
      <c r="G53" s="150" t="e">
        <f t="shared" si="31"/>
        <v>#REF!</v>
      </c>
      <c r="H53" s="150" t="e">
        <f t="shared" si="31"/>
        <v>#REF!</v>
      </c>
      <c r="I53" s="150" t="e">
        <f t="shared" si="31"/>
        <v>#REF!</v>
      </c>
      <c r="J53" s="150" t="e">
        <f t="shared" si="31"/>
        <v>#REF!</v>
      </c>
      <c r="K53" s="150" t="e">
        <f t="shared" si="31"/>
        <v>#REF!</v>
      </c>
      <c r="L53" s="150" t="e">
        <f t="shared" si="31"/>
        <v>#REF!</v>
      </c>
      <c r="M53" s="150" t="e">
        <f t="shared" si="31"/>
        <v>#REF!</v>
      </c>
      <c r="N53" s="150" t="e">
        <f t="shared" si="31"/>
        <v>#REF!</v>
      </c>
      <c r="O53" s="150" t="e">
        <f t="shared" si="31"/>
        <v>#REF!</v>
      </c>
      <c r="P53" s="150" t="e">
        <f t="shared" si="31"/>
        <v>#REF!</v>
      </c>
      <c r="Q53" s="150" t="e">
        <f t="shared" si="31"/>
        <v>#REF!</v>
      </c>
      <c r="R53" s="150" t="e">
        <f t="shared" si="31"/>
        <v>#REF!</v>
      </c>
      <c r="S53" s="150" t="e">
        <f t="shared" si="31"/>
        <v>#REF!</v>
      </c>
      <c r="T53" s="150" t="e">
        <f t="shared" si="31"/>
        <v>#REF!</v>
      </c>
      <c r="U53" s="150" t="e">
        <f t="shared" si="31"/>
        <v>#REF!</v>
      </c>
      <c r="V53" s="150" t="e">
        <f t="shared" si="31"/>
        <v>#REF!</v>
      </c>
      <c r="W53" s="150" t="e">
        <f t="shared" si="31"/>
        <v>#REF!</v>
      </c>
      <c r="X53" s="150" t="e">
        <f t="shared" si="31"/>
        <v>#REF!</v>
      </c>
      <c r="Y53" s="150"/>
      <c r="Z53" s="150"/>
      <c r="AA53" s="150"/>
      <c r="AB53" s="150"/>
      <c r="AC53" s="150"/>
      <c r="AD53" s="121" t="e">
        <f>AD52*$N$6</f>
        <v>#REF!</v>
      </c>
      <c r="AE53" s="48"/>
      <c r="AF53" s="48"/>
    </row>
    <row r="54" s="3" customFormat="1" ht="25" customHeight="1" spans="1:35">
      <c r="A54" s="5"/>
      <c r="B54" s="118" t="s">
        <v>273</v>
      </c>
      <c r="C54" s="119"/>
      <c r="D54" s="136"/>
      <c r="E54" s="121" t="e">
        <f>U10</f>
        <v>#REF!</v>
      </c>
      <c r="F54" s="121" t="e">
        <f>U11</f>
        <v>#REF!</v>
      </c>
      <c r="G54" s="121" t="e">
        <f>U12</f>
        <v>#REF!</v>
      </c>
      <c r="H54" s="121" t="e">
        <f>U13</f>
        <v>#REF!</v>
      </c>
      <c r="I54" s="121" t="e">
        <f>U14</f>
        <v>#REF!</v>
      </c>
      <c r="J54" s="121" t="e">
        <f>U15</f>
        <v>#REF!</v>
      </c>
      <c r="K54" s="121" t="e">
        <f>U16</f>
        <v>#REF!</v>
      </c>
      <c r="L54" s="121" t="e">
        <f>U17</f>
        <v>#REF!</v>
      </c>
      <c r="M54" s="121" t="e">
        <f>U18</f>
        <v>#REF!</v>
      </c>
      <c r="N54" s="121" t="e">
        <f>U19</f>
        <v>#REF!</v>
      </c>
      <c r="O54" s="121" t="e">
        <f>U20</f>
        <v>#REF!</v>
      </c>
      <c r="P54" s="121" t="e">
        <f>U21</f>
        <v>#REF!</v>
      </c>
      <c r="Q54" s="121" t="e">
        <f>U22</f>
        <v>#REF!</v>
      </c>
      <c r="R54" s="121" t="e">
        <f>U23</f>
        <v>#REF!</v>
      </c>
      <c r="S54" s="121" t="e">
        <f>U24</f>
        <v>#REF!</v>
      </c>
      <c r="T54" s="148" t="e">
        <f>U25</f>
        <v>#REF!</v>
      </c>
      <c r="U54" s="149" t="e">
        <f>U26</f>
        <v>#REF!</v>
      </c>
      <c r="V54" s="148" t="e">
        <f>U27</f>
        <v>#REF!</v>
      </c>
      <c r="W54" s="148" t="e">
        <f>U28</f>
        <v>#REF!</v>
      </c>
      <c r="X54" s="148" t="e">
        <f>U29</f>
        <v>#REF!</v>
      </c>
      <c r="Y54" s="148"/>
      <c r="Z54" s="148"/>
      <c r="AA54" s="148"/>
      <c r="AB54" s="148"/>
      <c r="AC54" s="148"/>
      <c r="AD54" s="117" t="e">
        <f t="shared" si="29"/>
        <v>#REF!</v>
      </c>
      <c r="AE54" s="48"/>
      <c r="AF54" s="48"/>
    </row>
    <row r="55" s="3" customFormat="1" ht="25" customHeight="1" spans="1:35">
      <c r="A55" s="5"/>
      <c r="B55" s="114" t="s">
        <v>274</v>
      </c>
      <c r="C55" s="115"/>
      <c r="D55" s="136"/>
      <c r="E55" s="121">
        <f>Y10</f>
        <v>0</v>
      </c>
      <c r="F55" s="121">
        <f>$Y11</f>
        <v>0</v>
      </c>
      <c r="G55" s="121">
        <f>Y12</f>
        <v>0</v>
      </c>
      <c r="H55" s="121">
        <f>Y13</f>
        <v>0</v>
      </c>
      <c r="I55" s="121"/>
      <c r="J55" s="121"/>
      <c r="K55" s="121"/>
      <c r="L55" s="121"/>
      <c r="M55" s="121"/>
      <c r="N55" s="121"/>
      <c r="O55" s="121">
        <f>Y20</f>
        <v>0</v>
      </c>
      <c r="P55" s="121"/>
      <c r="Q55" s="121"/>
      <c r="R55" s="121"/>
      <c r="S55" s="121"/>
      <c r="T55" s="151"/>
      <c r="U55" s="151"/>
      <c r="V55" s="152"/>
      <c r="W55" s="152"/>
      <c r="X55" s="152"/>
      <c r="Y55" s="66"/>
      <c r="Z55" s="7"/>
      <c r="AC55" s="26"/>
      <c r="AD55" s="27"/>
      <c r="AE55" s="1"/>
      <c r="AF55" s="1"/>
    </row>
    <row r="56" s="3" customFormat="1" ht="25" customHeight="1" spans="1:35">
      <c r="A56" s="5"/>
      <c r="B56" s="17" t="s">
        <v>275</v>
      </c>
      <c r="C56" s="153" t="s">
        <v>274</v>
      </c>
      <c r="D56" s="148" t="e">
        <f>-J2</f>
        <v>#REF!</v>
      </c>
      <c r="E56" s="148" t="e">
        <f t="shared" ref="E56:N56" si="32">E41-E49-E54-E52-E53</f>
        <v>#REF!</v>
      </c>
      <c r="F56" s="148" t="e">
        <f t="shared" si="32"/>
        <v>#REF!</v>
      </c>
      <c r="G56" s="148" t="e">
        <f t="shared" si="32"/>
        <v>#REF!</v>
      </c>
      <c r="H56" s="148" t="e">
        <f t="shared" si="32"/>
        <v>#REF!</v>
      </c>
      <c r="I56" s="148" t="e">
        <f t="shared" si="32"/>
        <v>#REF!</v>
      </c>
      <c r="J56" s="148" t="e">
        <f t="shared" si="32"/>
        <v>#REF!</v>
      </c>
      <c r="K56" s="148" t="e">
        <f t="shared" si="32"/>
        <v>#REF!</v>
      </c>
      <c r="L56" s="148" t="e">
        <f t="shared" si="32"/>
        <v>#REF!</v>
      </c>
      <c r="M56" s="148" t="e">
        <f t="shared" si="32"/>
        <v>#REF!</v>
      </c>
      <c r="N56" s="148" t="e">
        <f t="shared" si="32"/>
        <v>#REF!</v>
      </c>
      <c r="O56" s="148" t="e">
        <f>O41-O45-O49-O54-O52-O53</f>
        <v>#REF!</v>
      </c>
      <c r="P56" s="148" t="e">
        <f t="shared" ref="P56:X56" si="33">P41-P49-P54-P52-P53</f>
        <v>#REF!</v>
      </c>
      <c r="Q56" s="148" t="e">
        <f t="shared" si="33"/>
        <v>#REF!</v>
      </c>
      <c r="R56" s="148" t="e">
        <f t="shared" si="33"/>
        <v>#REF!</v>
      </c>
      <c r="S56" s="148" t="e">
        <f t="shared" si="33"/>
        <v>#REF!</v>
      </c>
      <c r="T56" s="148" t="e">
        <f t="shared" si="33"/>
        <v>#REF!</v>
      </c>
      <c r="U56" s="149" t="e">
        <f t="shared" si="33"/>
        <v>#REF!</v>
      </c>
      <c r="V56" s="148" t="e">
        <f t="shared" si="33"/>
        <v>#REF!</v>
      </c>
      <c r="W56" s="148" t="e">
        <f t="shared" si="33"/>
        <v>#REF!</v>
      </c>
      <c r="X56" s="148" t="e">
        <f t="shared" si="33"/>
        <v>#REF!</v>
      </c>
      <c r="Y56" s="148"/>
      <c r="Z56" s="148"/>
      <c r="AA56" s="148"/>
      <c r="AB56" s="148"/>
      <c r="AC56" s="148"/>
      <c r="AD56" s="27"/>
      <c r="AE56" s="48"/>
    </row>
    <row r="57" s="3" customFormat="1" ht="25" customHeight="1" spans="1:35">
      <c r="A57" s="5"/>
      <c r="B57" s="17"/>
      <c r="C57" s="154" t="s">
        <v>276</v>
      </c>
      <c r="D57" s="148" t="e">
        <f>D56</f>
        <v>#REF!</v>
      </c>
      <c r="E57" s="148" t="e">
        <f t="shared" ref="E57:X57" si="34">D57+E56</f>
        <v>#REF!</v>
      </c>
      <c r="F57" s="148" t="e">
        <f t="shared" si="34"/>
        <v>#REF!</v>
      </c>
      <c r="G57" s="148" t="e">
        <f t="shared" si="34"/>
        <v>#REF!</v>
      </c>
      <c r="H57" s="148" t="e">
        <f t="shared" si="34"/>
        <v>#REF!</v>
      </c>
      <c r="I57" s="148" t="e">
        <f t="shared" si="34"/>
        <v>#REF!</v>
      </c>
      <c r="J57" s="148" t="e">
        <f t="shared" si="34"/>
        <v>#REF!</v>
      </c>
      <c r="K57" s="148" t="e">
        <f t="shared" si="34"/>
        <v>#REF!</v>
      </c>
      <c r="L57" s="148" t="e">
        <f t="shared" si="34"/>
        <v>#REF!</v>
      </c>
      <c r="M57" s="148" t="e">
        <f t="shared" si="34"/>
        <v>#REF!</v>
      </c>
      <c r="N57" s="148" t="e">
        <f t="shared" si="34"/>
        <v>#REF!</v>
      </c>
      <c r="O57" s="148" t="e">
        <f t="shared" si="34"/>
        <v>#REF!</v>
      </c>
      <c r="P57" s="148" t="e">
        <f t="shared" si="34"/>
        <v>#REF!</v>
      </c>
      <c r="Q57" s="148" t="e">
        <f t="shared" si="34"/>
        <v>#REF!</v>
      </c>
      <c r="R57" s="148" t="e">
        <f t="shared" si="34"/>
        <v>#REF!</v>
      </c>
      <c r="S57" s="148" t="e">
        <f t="shared" si="34"/>
        <v>#REF!</v>
      </c>
      <c r="T57" s="148" t="e">
        <f t="shared" si="34"/>
        <v>#REF!</v>
      </c>
      <c r="U57" s="149" t="e">
        <f t="shared" si="34"/>
        <v>#REF!</v>
      </c>
      <c r="V57" s="148" t="e">
        <f t="shared" si="34"/>
        <v>#REF!</v>
      </c>
      <c r="W57" s="148" t="e">
        <f t="shared" si="34"/>
        <v>#REF!</v>
      </c>
      <c r="X57" s="148" t="e">
        <f t="shared" si="34"/>
        <v>#REF!</v>
      </c>
      <c r="Y57" s="148"/>
      <c r="Z57" s="148"/>
      <c r="AA57" s="148"/>
      <c r="AB57" s="148"/>
      <c r="AC57" s="148"/>
      <c r="AD57" s="48"/>
      <c r="AE57" s="48"/>
      <c r="AF57" s="48"/>
    </row>
    <row r="58" s="3" customFormat="1" ht="25" customHeight="1" spans="1:35">
      <c r="A58" s="5"/>
      <c r="B58" s="17"/>
      <c r="C58" s="154" t="s">
        <v>277</v>
      </c>
      <c r="D58" s="152"/>
      <c r="E58" s="155">
        <v>0.06</v>
      </c>
      <c r="F58" s="155">
        <v>0.06</v>
      </c>
      <c r="G58" s="155">
        <v>0.06</v>
      </c>
      <c r="H58" s="155">
        <v>0.06</v>
      </c>
      <c r="I58" s="155">
        <v>0.06</v>
      </c>
      <c r="J58" s="155">
        <v>0.06</v>
      </c>
      <c r="K58" s="155">
        <v>0.06</v>
      </c>
      <c r="L58" s="155">
        <v>0.06</v>
      </c>
      <c r="M58" s="155">
        <v>0.06</v>
      </c>
      <c r="N58" s="155">
        <v>0.06</v>
      </c>
      <c r="O58" s="155">
        <v>0.06</v>
      </c>
      <c r="P58" s="155">
        <v>0.06</v>
      </c>
      <c r="Q58" s="155">
        <v>0.06</v>
      </c>
      <c r="R58" s="155">
        <v>0.06</v>
      </c>
      <c r="S58" s="155">
        <v>0.06</v>
      </c>
      <c r="T58" s="155">
        <v>0.06</v>
      </c>
      <c r="U58" s="156">
        <v>0.06</v>
      </c>
      <c r="V58" s="155">
        <v>0.06</v>
      </c>
      <c r="W58" s="155">
        <v>0.06</v>
      </c>
      <c r="X58" s="155">
        <v>0.06</v>
      </c>
      <c r="Y58" s="155"/>
      <c r="Z58" s="155"/>
      <c r="AA58" s="155"/>
      <c r="AB58" s="155"/>
      <c r="AC58" s="155"/>
      <c r="AD58" s="27"/>
      <c r="AE58" s="1"/>
      <c r="AF58" s="1"/>
    </row>
    <row r="59" s="3" customFormat="1" ht="25" customHeight="1" spans="1:35">
      <c r="A59" s="5"/>
      <c r="B59" s="17"/>
      <c r="C59" s="154" t="s">
        <v>278</v>
      </c>
      <c r="D59" s="152"/>
      <c r="E59" s="148">
        <f>1/(1+E58)</f>
        <v>0.943396226415094</v>
      </c>
      <c r="F59" s="148">
        <f t="shared" ref="F59:X59" si="35">E59/(1+F58)</f>
        <v>0.88999644001424</v>
      </c>
      <c r="G59" s="148">
        <f t="shared" si="35"/>
        <v>0.839619283032302</v>
      </c>
      <c r="H59" s="148">
        <f t="shared" si="35"/>
        <v>0.79209366323802</v>
      </c>
      <c r="I59" s="148">
        <f t="shared" si="35"/>
        <v>0.747258172866057</v>
      </c>
      <c r="J59" s="148">
        <f t="shared" si="35"/>
        <v>0.704960540439676</v>
      </c>
      <c r="K59" s="148">
        <f t="shared" si="35"/>
        <v>0.665057113622336</v>
      </c>
      <c r="L59" s="148">
        <f t="shared" si="35"/>
        <v>0.627412371341827</v>
      </c>
      <c r="M59" s="148">
        <f t="shared" si="35"/>
        <v>0.591898463530025</v>
      </c>
      <c r="N59" s="148">
        <f t="shared" si="35"/>
        <v>0.558394776915118</v>
      </c>
      <c r="O59" s="148">
        <f t="shared" si="35"/>
        <v>0.526787525391621</v>
      </c>
      <c r="P59" s="148">
        <f t="shared" si="35"/>
        <v>0.496969363577001</v>
      </c>
      <c r="Q59" s="148">
        <f t="shared" si="35"/>
        <v>0.468839022242453</v>
      </c>
      <c r="R59" s="148">
        <f t="shared" si="35"/>
        <v>0.442300964379673</v>
      </c>
      <c r="S59" s="148">
        <f t="shared" si="35"/>
        <v>0.417265060735541</v>
      </c>
      <c r="T59" s="148">
        <f t="shared" si="35"/>
        <v>0.393646283712774</v>
      </c>
      <c r="U59" s="149">
        <f t="shared" si="35"/>
        <v>0.371364418596957</v>
      </c>
      <c r="V59" s="148">
        <f t="shared" si="35"/>
        <v>0.350343791129204</v>
      </c>
      <c r="W59" s="148">
        <f t="shared" si="35"/>
        <v>0.330513010499249</v>
      </c>
      <c r="X59" s="148">
        <f t="shared" si="35"/>
        <v>0.311804726886084</v>
      </c>
      <c r="Y59" s="148"/>
      <c r="Z59" s="148"/>
      <c r="AA59" s="148"/>
      <c r="AB59" s="148"/>
      <c r="AC59" s="148"/>
      <c r="AD59" s="27"/>
      <c r="AE59" s="48"/>
      <c r="AF59" s="48"/>
    </row>
    <row r="60" s="3" customFormat="1" ht="25" customHeight="1" spans="1:35">
      <c r="A60" s="5"/>
      <c r="B60" s="17"/>
      <c r="C60" s="154" t="s">
        <v>279</v>
      </c>
      <c r="D60" s="152"/>
      <c r="E60" s="148" t="e">
        <f t="shared" ref="E60:X60" si="36">E56*E59</f>
        <v>#REF!</v>
      </c>
      <c r="F60" s="148" t="e">
        <f t="shared" si="36"/>
        <v>#REF!</v>
      </c>
      <c r="G60" s="148" t="e">
        <f t="shared" si="36"/>
        <v>#REF!</v>
      </c>
      <c r="H60" s="148" t="e">
        <f t="shared" si="36"/>
        <v>#REF!</v>
      </c>
      <c r="I60" s="148" t="e">
        <f t="shared" si="36"/>
        <v>#REF!</v>
      </c>
      <c r="J60" s="148" t="e">
        <f t="shared" si="36"/>
        <v>#REF!</v>
      </c>
      <c r="K60" s="148" t="e">
        <f t="shared" si="36"/>
        <v>#REF!</v>
      </c>
      <c r="L60" s="148" t="e">
        <f t="shared" si="36"/>
        <v>#REF!</v>
      </c>
      <c r="M60" s="148" t="e">
        <f t="shared" si="36"/>
        <v>#REF!</v>
      </c>
      <c r="N60" s="148" t="e">
        <f t="shared" si="36"/>
        <v>#REF!</v>
      </c>
      <c r="O60" s="148" t="e">
        <f t="shared" si="36"/>
        <v>#REF!</v>
      </c>
      <c r="P60" s="148" t="e">
        <f t="shared" si="36"/>
        <v>#REF!</v>
      </c>
      <c r="Q60" s="148" t="e">
        <f t="shared" si="36"/>
        <v>#REF!</v>
      </c>
      <c r="R60" s="148" t="e">
        <f t="shared" si="36"/>
        <v>#REF!</v>
      </c>
      <c r="S60" s="148" t="e">
        <f t="shared" si="36"/>
        <v>#REF!</v>
      </c>
      <c r="T60" s="148" t="e">
        <f t="shared" si="36"/>
        <v>#REF!</v>
      </c>
      <c r="U60" s="149" t="e">
        <f t="shared" si="36"/>
        <v>#REF!</v>
      </c>
      <c r="V60" s="148" t="e">
        <f t="shared" si="36"/>
        <v>#REF!</v>
      </c>
      <c r="W60" s="148" t="e">
        <f t="shared" si="36"/>
        <v>#REF!</v>
      </c>
      <c r="X60" s="148" t="e">
        <f t="shared" si="36"/>
        <v>#REF!</v>
      </c>
      <c r="Y60" s="148"/>
      <c r="Z60" s="148"/>
      <c r="AA60" s="148"/>
      <c r="AB60" s="148"/>
      <c r="AC60" s="148"/>
      <c r="AD60" s="48"/>
      <c r="AE60" s="48"/>
      <c r="AF60" s="48"/>
    </row>
    <row r="61" s="3" customFormat="1" ht="25" customHeight="1" spans="1:35">
      <c r="A61" s="5"/>
      <c r="B61" s="17"/>
      <c r="C61" s="154" t="s">
        <v>280</v>
      </c>
      <c r="D61" s="148" t="e">
        <f>D56</f>
        <v>#REF!</v>
      </c>
      <c r="E61" s="148" t="e">
        <f t="shared" ref="E61:X61" si="37">D61+E60</f>
        <v>#REF!</v>
      </c>
      <c r="F61" s="148" t="e">
        <f t="shared" si="37"/>
        <v>#REF!</v>
      </c>
      <c r="G61" s="148" t="e">
        <f t="shared" si="37"/>
        <v>#REF!</v>
      </c>
      <c r="H61" s="148" t="e">
        <f t="shared" si="37"/>
        <v>#REF!</v>
      </c>
      <c r="I61" s="148" t="e">
        <f t="shared" si="37"/>
        <v>#REF!</v>
      </c>
      <c r="J61" s="148" t="e">
        <f t="shared" si="37"/>
        <v>#REF!</v>
      </c>
      <c r="K61" s="148" t="e">
        <f t="shared" si="37"/>
        <v>#REF!</v>
      </c>
      <c r="L61" s="148" t="e">
        <f t="shared" si="37"/>
        <v>#REF!</v>
      </c>
      <c r="M61" s="148" t="e">
        <f t="shared" si="37"/>
        <v>#REF!</v>
      </c>
      <c r="N61" s="148" t="e">
        <f t="shared" si="37"/>
        <v>#REF!</v>
      </c>
      <c r="O61" s="148" t="e">
        <f t="shared" si="37"/>
        <v>#REF!</v>
      </c>
      <c r="P61" s="148" t="e">
        <f t="shared" si="37"/>
        <v>#REF!</v>
      </c>
      <c r="Q61" s="148" t="e">
        <f t="shared" si="37"/>
        <v>#REF!</v>
      </c>
      <c r="R61" s="148" t="e">
        <f t="shared" si="37"/>
        <v>#REF!</v>
      </c>
      <c r="S61" s="148" t="e">
        <f t="shared" si="37"/>
        <v>#REF!</v>
      </c>
      <c r="T61" s="148" t="e">
        <f t="shared" si="37"/>
        <v>#REF!</v>
      </c>
      <c r="U61" s="149" t="e">
        <f t="shared" si="37"/>
        <v>#REF!</v>
      </c>
      <c r="V61" s="148" t="e">
        <f t="shared" si="37"/>
        <v>#REF!</v>
      </c>
      <c r="W61" s="148" t="e">
        <f t="shared" si="37"/>
        <v>#REF!</v>
      </c>
      <c r="X61" s="148" t="e">
        <f t="shared" si="37"/>
        <v>#REF!</v>
      </c>
      <c r="Y61" s="148"/>
      <c r="Z61" s="148"/>
      <c r="AA61" s="148"/>
      <c r="AB61" s="148"/>
      <c r="AC61" s="148"/>
      <c r="AD61" s="27"/>
      <c r="AE61" s="1"/>
      <c r="AF61" s="1"/>
    </row>
    <row r="62" s="3" customFormat="1" ht="25" customHeight="1" spans="1:35">
      <c r="A62" s="5"/>
      <c r="B62" s="17" t="s">
        <v>281</v>
      </c>
      <c r="C62" s="154" t="s">
        <v>274</v>
      </c>
      <c r="D62" s="148" t="e">
        <f>-J2*0.3</f>
        <v>#REF!</v>
      </c>
      <c r="E62" s="148" t="e">
        <f t="shared" ref="E62:N62" si="38">E41-E46-E48-E49-E52-E53-E54</f>
        <v>#REF!</v>
      </c>
      <c r="F62" s="148" t="e">
        <f t="shared" si="38"/>
        <v>#REF!</v>
      </c>
      <c r="G62" s="148" t="e">
        <f t="shared" si="38"/>
        <v>#REF!</v>
      </c>
      <c r="H62" s="148" t="e">
        <f t="shared" si="38"/>
        <v>#REF!</v>
      </c>
      <c r="I62" s="148" t="e">
        <f t="shared" si="38"/>
        <v>#REF!</v>
      </c>
      <c r="J62" s="148" t="e">
        <f t="shared" si="38"/>
        <v>#REF!</v>
      </c>
      <c r="K62" s="148" t="e">
        <f t="shared" si="38"/>
        <v>#REF!</v>
      </c>
      <c r="L62" s="148" t="e">
        <f t="shared" si="38"/>
        <v>#REF!</v>
      </c>
      <c r="M62" s="148" t="e">
        <f t="shared" si="38"/>
        <v>#REF!</v>
      </c>
      <c r="N62" s="148" t="e">
        <f t="shared" si="38"/>
        <v>#REF!</v>
      </c>
      <c r="O62" s="148" t="e">
        <f>O41-O46-O48-O49-O52-O53-O54-O45</f>
        <v>#REF!</v>
      </c>
      <c r="P62" s="148" t="e">
        <f t="shared" ref="P62:X62" si="39">P41-P46-P48-P49-P52-P53-P54</f>
        <v>#REF!</v>
      </c>
      <c r="Q62" s="148" t="e">
        <f t="shared" si="39"/>
        <v>#REF!</v>
      </c>
      <c r="R62" s="148" t="e">
        <f t="shared" si="39"/>
        <v>#REF!</v>
      </c>
      <c r="S62" s="148" t="e">
        <f t="shared" si="39"/>
        <v>#REF!</v>
      </c>
      <c r="T62" s="148" t="e">
        <f t="shared" si="39"/>
        <v>#REF!</v>
      </c>
      <c r="U62" s="149" t="e">
        <f t="shared" si="39"/>
        <v>#REF!</v>
      </c>
      <c r="V62" s="148" t="e">
        <f t="shared" si="39"/>
        <v>#REF!</v>
      </c>
      <c r="W62" s="148" t="e">
        <f t="shared" si="39"/>
        <v>#REF!</v>
      </c>
      <c r="X62" s="148" t="e">
        <f t="shared" si="39"/>
        <v>#REF!</v>
      </c>
      <c r="Y62" s="148"/>
      <c r="Z62" s="148"/>
      <c r="AA62" s="148"/>
      <c r="AB62" s="148"/>
      <c r="AC62" s="148"/>
      <c r="AD62" s="27"/>
      <c r="AE62" s="48"/>
      <c r="AF62" s="48"/>
    </row>
    <row r="63" s="3" customFormat="1" ht="25" customHeight="1" spans="1:35">
      <c r="A63" s="5"/>
      <c r="B63" s="17"/>
      <c r="C63" s="154" t="s">
        <v>276</v>
      </c>
      <c r="D63" s="148" t="e">
        <f>D62</f>
        <v>#REF!</v>
      </c>
      <c r="E63" s="148" t="e">
        <f t="shared" ref="E63:X63" si="40">D63+E62</f>
        <v>#REF!</v>
      </c>
      <c r="F63" s="148" t="e">
        <f t="shared" si="40"/>
        <v>#REF!</v>
      </c>
      <c r="G63" s="148" t="e">
        <f t="shared" si="40"/>
        <v>#REF!</v>
      </c>
      <c r="H63" s="148" t="e">
        <f t="shared" si="40"/>
        <v>#REF!</v>
      </c>
      <c r="I63" s="148" t="e">
        <f t="shared" si="40"/>
        <v>#REF!</v>
      </c>
      <c r="J63" s="148" t="e">
        <f t="shared" si="40"/>
        <v>#REF!</v>
      </c>
      <c r="K63" s="148" t="e">
        <f t="shared" si="40"/>
        <v>#REF!</v>
      </c>
      <c r="L63" s="148" t="e">
        <f t="shared" si="40"/>
        <v>#REF!</v>
      </c>
      <c r="M63" s="148" t="e">
        <f t="shared" si="40"/>
        <v>#REF!</v>
      </c>
      <c r="N63" s="148" t="e">
        <f t="shared" si="40"/>
        <v>#REF!</v>
      </c>
      <c r="O63" s="148" t="e">
        <f t="shared" si="40"/>
        <v>#REF!</v>
      </c>
      <c r="P63" s="148" t="e">
        <f t="shared" si="40"/>
        <v>#REF!</v>
      </c>
      <c r="Q63" s="148" t="e">
        <f t="shared" si="40"/>
        <v>#REF!</v>
      </c>
      <c r="R63" s="148" t="e">
        <f t="shared" si="40"/>
        <v>#REF!</v>
      </c>
      <c r="S63" s="148" t="e">
        <f t="shared" si="40"/>
        <v>#REF!</v>
      </c>
      <c r="T63" s="148" t="e">
        <f t="shared" si="40"/>
        <v>#REF!</v>
      </c>
      <c r="U63" s="149" t="e">
        <f t="shared" si="40"/>
        <v>#REF!</v>
      </c>
      <c r="V63" s="148" t="e">
        <f t="shared" si="40"/>
        <v>#REF!</v>
      </c>
      <c r="W63" s="148" t="e">
        <f t="shared" si="40"/>
        <v>#REF!</v>
      </c>
      <c r="X63" s="148" t="e">
        <f t="shared" si="40"/>
        <v>#REF!</v>
      </c>
      <c r="Y63" s="148"/>
      <c r="Z63" s="148"/>
      <c r="AA63" s="148"/>
      <c r="AB63" s="148"/>
      <c r="AC63" s="148"/>
      <c r="AD63" s="48"/>
      <c r="AE63" s="48"/>
      <c r="AF63" s="48"/>
    </row>
    <row r="64" s="3" customFormat="1" ht="25" customHeight="1" spans="1:35">
      <c r="A64" s="5"/>
      <c r="B64" s="17"/>
      <c r="C64" s="157" t="s">
        <v>278</v>
      </c>
      <c r="D64" s="148"/>
      <c r="E64" s="148">
        <f t="shared" ref="E64:X64" si="41">E59</f>
        <v>0.943396226415094</v>
      </c>
      <c r="F64" s="148">
        <f t="shared" si="41"/>
        <v>0.88999644001424</v>
      </c>
      <c r="G64" s="148">
        <f t="shared" si="41"/>
        <v>0.839619283032302</v>
      </c>
      <c r="H64" s="148">
        <f t="shared" si="41"/>
        <v>0.79209366323802</v>
      </c>
      <c r="I64" s="148">
        <f t="shared" si="41"/>
        <v>0.747258172866057</v>
      </c>
      <c r="J64" s="148">
        <f t="shared" si="41"/>
        <v>0.704960540439676</v>
      </c>
      <c r="K64" s="148">
        <f t="shared" si="41"/>
        <v>0.665057113622336</v>
      </c>
      <c r="L64" s="148">
        <f t="shared" si="41"/>
        <v>0.627412371341827</v>
      </c>
      <c r="M64" s="148">
        <f t="shared" si="41"/>
        <v>0.591898463530025</v>
      </c>
      <c r="N64" s="148">
        <f t="shared" si="41"/>
        <v>0.558394776915118</v>
      </c>
      <c r="O64" s="148">
        <f t="shared" si="41"/>
        <v>0.526787525391621</v>
      </c>
      <c r="P64" s="148">
        <f t="shared" si="41"/>
        <v>0.496969363577001</v>
      </c>
      <c r="Q64" s="148">
        <f t="shared" si="41"/>
        <v>0.468839022242453</v>
      </c>
      <c r="R64" s="148">
        <f t="shared" si="41"/>
        <v>0.442300964379673</v>
      </c>
      <c r="S64" s="148">
        <f t="shared" si="41"/>
        <v>0.417265060735541</v>
      </c>
      <c r="T64" s="148">
        <f t="shared" si="41"/>
        <v>0.393646283712774</v>
      </c>
      <c r="U64" s="149">
        <f t="shared" si="41"/>
        <v>0.371364418596957</v>
      </c>
      <c r="V64" s="148">
        <f t="shared" si="41"/>
        <v>0.350343791129204</v>
      </c>
      <c r="W64" s="148">
        <f t="shared" si="41"/>
        <v>0.330513010499249</v>
      </c>
      <c r="X64" s="148">
        <f t="shared" si="41"/>
        <v>0.311804726886084</v>
      </c>
      <c r="Y64" s="148"/>
      <c r="Z64" s="148"/>
      <c r="AA64" s="148"/>
      <c r="AB64" s="148"/>
      <c r="AC64" s="148"/>
      <c r="AD64" s="27"/>
      <c r="AE64" s="1"/>
      <c r="AF64" s="1"/>
    </row>
    <row r="65" s="3" customFormat="1" ht="25" customHeight="1" spans="1:33">
      <c r="A65" s="5"/>
      <c r="B65" s="17"/>
      <c r="C65" s="157" t="s">
        <v>279</v>
      </c>
      <c r="D65" s="148"/>
      <c r="E65" s="148" t="e">
        <f t="shared" ref="E65:X65" si="42">E62*E64</f>
        <v>#REF!</v>
      </c>
      <c r="F65" s="148" t="e">
        <f t="shared" si="42"/>
        <v>#REF!</v>
      </c>
      <c r="G65" s="148" t="e">
        <f t="shared" si="42"/>
        <v>#REF!</v>
      </c>
      <c r="H65" s="148" t="e">
        <f t="shared" si="42"/>
        <v>#REF!</v>
      </c>
      <c r="I65" s="148" t="e">
        <f t="shared" si="42"/>
        <v>#REF!</v>
      </c>
      <c r="J65" s="148" t="e">
        <f t="shared" si="42"/>
        <v>#REF!</v>
      </c>
      <c r="K65" s="148" t="e">
        <f t="shared" si="42"/>
        <v>#REF!</v>
      </c>
      <c r="L65" s="148" t="e">
        <f t="shared" si="42"/>
        <v>#REF!</v>
      </c>
      <c r="M65" s="148" t="e">
        <f t="shared" si="42"/>
        <v>#REF!</v>
      </c>
      <c r="N65" s="148" t="e">
        <f t="shared" si="42"/>
        <v>#REF!</v>
      </c>
      <c r="O65" s="148" t="e">
        <f t="shared" si="42"/>
        <v>#REF!</v>
      </c>
      <c r="P65" s="148" t="e">
        <f t="shared" si="42"/>
        <v>#REF!</v>
      </c>
      <c r="Q65" s="148" t="e">
        <f t="shared" si="42"/>
        <v>#REF!</v>
      </c>
      <c r="R65" s="148" t="e">
        <f t="shared" si="42"/>
        <v>#REF!</v>
      </c>
      <c r="S65" s="148" t="e">
        <f t="shared" si="42"/>
        <v>#REF!</v>
      </c>
      <c r="T65" s="148" t="e">
        <f t="shared" si="42"/>
        <v>#REF!</v>
      </c>
      <c r="U65" s="149" t="e">
        <f t="shared" si="42"/>
        <v>#REF!</v>
      </c>
      <c r="V65" s="148" t="e">
        <f t="shared" si="42"/>
        <v>#REF!</v>
      </c>
      <c r="W65" s="148" t="e">
        <f t="shared" si="42"/>
        <v>#REF!</v>
      </c>
      <c r="X65" s="148" t="e">
        <f t="shared" si="42"/>
        <v>#REF!</v>
      </c>
      <c r="Y65" s="148"/>
      <c r="Z65" s="148"/>
      <c r="AA65" s="148"/>
      <c r="AB65" s="148"/>
      <c r="AC65" s="148"/>
      <c r="AD65" s="27"/>
      <c r="AE65" s="48"/>
      <c r="AF65" s="48"/>
    </row>
    <row r="66" s="3" customFormat="1" ht="25" customHeight="1" spans="1:33">
      <c r="A66" s="5"/>
      <c r="B66" s="17"/>
      <c r="C66" s="157" t="s">
        <v>280</v>
      </c>
      <c r="D66" s="148" t="e">
        <f>D62</f>
        <v>#REF!</v>
      </c>
      <c r="E66" s="148" t="e">
        <f t="shared" ref="E66:X66" si="43">D66+E65</f>
        <v>#REF!</v>
      </c>
      <c r="F66" s="148" t="e">
        <f t="shared" si="43"/>
        <v>#REF!</v>
      </c>
      <c r="G66" s="148" t="e">
        <f t="shared" si="43"/>
        <v>#REF!</v>
      </c>
      <c r="H66" s="148" t="e">
        <f t="shared" si="43"/>
        <v>#REF!</v>
      </c>
      <c r="I66" s="148" t="e">
        <f t="shared" si="43"/>
        <v>#REF!</v>
      </c>
      <c r="J66" s="148" t="e">
        <f t="shared" si="43"/>
        <v>#REF!</v>
      </c>
      <c r="K66" s="148" t="e">
        <f t="shared" si="43"/>
        <v>#REF!</v>
      </c>
      <c r="L66" s="148" t="e">
        <f t="shared" si="43"/>
        <v>#REF!</v>
      </c>
      <c r="M66" s="148" t="e">
        <f t="shared" si="43"/>
        <v>#REF!</v>
      </c>
      <c r="N66" s="148" t="e">
        <f t="shared" si="43"/>
        <v>#REF!</v>
      </c>
      <c r="O66" s="148" t="e">
        <f t="shared" si="43"/>
        <v>#REF!</v>
      </c>
      <c r="P66" s="148" t="e">
        <f t="shared" si="43"/>
        <v>#REF!</v>
      </c>
      <c r="Q66" s="148" t="e">
        <f t="shared" si="43"/>
        <v>#REF!</v>
      </c>
      <c r="R66" s="148" t="e">
        <f t="shared" si="43"/>
        <v>#REF!</v>
      </c>
      <c r="S66" s="148" t="e">
        <f t="shared" si="43"/>
        <v>#REF!</v>
      </c>
      <c r="T66" s="148" t="e">
        <f t="shared" si="43"/>
        <v>#REF!</v>
      </c>
      <c r="U66" s="149" t="e">
        <f t="shared" si="43"/>
        <v>#REF!</v>
      </c>
      <c r="V66" s="148" t="e">
        <f t="shared" si="43"/>
        <v>#REF!</v>
      </c>
      <c r="W66" s="148" t="e">
        <f t="shared" si="43"/>
        <v>#REF!</v>
      </c>
      <c r="X66" s="148" t="e">
        <f t="shared" si="43"/>
        <v>#REF!</v>
      </c>
      <c r="Y66" s="148"/>
      <c r="Z66" s="148"/>
      <c r="AA66" s="148"/>
      <c r="AB66" s="148"/>
      <c r="AC66" s="148"/>
      <c r="AD66" s="48"/>
      <c r="AE66" s="48"/>
      <c r="AF66" s="48"/>
    </row>
    <row r="67" s="3" customFormat="1" ht="16.95" customHeight="1" spans="1:33">
      <c r="A67" s="5"/>
      <c r="B67" s="6"/>
      <c r="C67" s="7"/>
      <c r="D67" s="158"/>
      <c r="E67" s="158"/>
      <c r="F67" s="158"/>
      <c r="G67" s="158"/>
      <c r="H67" s="158"/>
      <c r="I67" s="158"/>
      <c r="J67" s="158"/>
      <c r="K67" s="158"/>
      <c r="L67" s="158"/>
      <c r="M67" s="158"/>
      <c r="N67" s="158"/>
      <c r="O67" s="158"/>
      <c r="P67" s="158"/>
      <c r="Q67" s="158"/>
      <c r="R67" s="158"/>
      <c r="S67" s="158"/>
      <c r="T67" s="158"/>
      <c r="U67" s="7"/>
      <c r="V67" s="7"/>
      <c r="W67" s="7"/>
      <c r="X67" s="7"/>
      <c r="Y67" s="7"/>
      <c r="Z67" s="7"/>
      <c r="AA67" s="7"/>
      <c r="AB67" s="7"/>
      <c r="AC67" s="26"/>
      <c r="AD67" s="26"/>
      <c r="AE67" s="27"/>
      <c r="AF67" s="1"/>
      <c r="AG67" s="1"/>
    </row>
    <row r="68" s="3" customFormat="1" ht="16.95" customHeight="1" spans="1:33">
      <c r="A68" s="5"/>
      <c r="U68" s="7"/>
      <c r="V68" s="159"/>
      <c r="W68" s="159"/>
      <c r="X68" s="159"/>
      <c r="Y68" s="160"/>
      <c r="Z68" s="160"/>
      <c r="AA68" s="160"/>
      <c r="AB68" s="161"/>
      <c r="AC68" s="66"/>
    </row>
    <row r="69" s="3" customFormat="1" ht="16.95" customHeight="1" spans="1:33">
      <c r="A69" s="5"/>
      <c r="U69" s="7"/>
      <c r="V69" s="162"/>
      <c r="W69" s="162"/>
      <c r="X69" s="162"/>
      <c r="Y69" s="162"/>
      <c r="Z69" s="162"/>
      <c r="AA69" s="162"/>
      <c r="AB69" s="163"/>
      <c r="AC69" s="7"/>
    </row>
    <row r="70" s="3" customFormat="1" ht="16.95" customHeight="1" spans="1:33">
      <c r="A70" s="5"/>
      <c r="U70" s="7"/>
      <c r="V70" s="159"/>
      <c r="W70" s="159"/>
      <c r="X70" s="159"/>
      <c r="Y70" s="160"/>
      <c r="Z70" s="160"/>
      <c r="AA70" s="160"/>
      <c r="AB70" s="161"/>
      <c r="AC70" s="66"/>
    </row>
    <row r="71" s="3" customFormat="1" ht="16.95" customHeight="1" spans="1:33">
      <c r="A71" s="5"/>
      <c r="U71" s="7"/>
      <c r="V71" s="159"/>
      <c r="W71" s="159"/>
      <c r="X71" s="159"/>
      <c r="Y71" s="160"/>
      <c r="Z71" s="160"/>
      <c r="AA71" s="160"/>
      <c r="AB71" s="161"/>
      <c r="AC71" s="66"/>
    </row>
    <row r="72" s="3" customFormat="1" ht="24" customHeight="1" spans="1:33">
      <c r="A72" s="5"/>
      <c r="B72" s="6"/>
      <c r="C72" s="7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162"/>
      <c r="V72" s="162"/>
      <c r="W72" s="162"/>
      <c r="X72" s="162"/>
      <c r="Y72" s="162"/>
      <c r="Z72" s="162"/>
      <c r="AA72" s="162"/>
      <c r="AB72" s="163"/>
      <c r="AC72" s="7"/>
    </row>
    <row r="73" s="1" customFormat="1" ht="19.05" customHeight="1" spans="1:33">
      <c r="A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159"/>
      <c r="V73" s="159"/>
      <c r="W73" s="159"/>
      <c r="X73" s="159"/>
      <c r="Y73" s="160"/>
      <c r="Z73" s="160"/>
      <c r="AA73" s="160"/>
      <c r="AB73" s="161"/>
      <c r="AC73" s="66"/>
      <c r="AD73" s="3"/>
    </row>
    <row r="74" s="1" customFormat="1" ht="19.05" customHeight="1" spans="1:33">
      <c r="A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159"/>
      <c r="V74" s="159"/>
      <c r="W74" s="159"/>
      <c r="X74" s="159"/>
      <c r="Y74" s="160"/>
      <c r="Z74" s="160"/>
      <c r="AA74" s="160"/>
      <c r="AB74" s="161"/>
      <c r="AC74" s="66"/>
      <c r="AD74" s="3"/>
    </row>
    <row r="75" s="1" customFormat="1" ht="19.05" customHeight="1" spans="1:33">
      <c r="A75" s="7"/>
      <c r="C75" s="66"/>
      <c r="D75" s="26"/>
      <c r="E75" s="164"/>
      <c r="F75" s="164"/>
      <c r="G75" s="164"/>
      <c r="H75" s="164"/>
      <c r="I75" s="164"/>
      <c r="J75" s="164"/>
      <c r="K75" s="164"/>
      <c r="L75" s="164"/>
      <c r="M75" s="164"/>
      <c r="N75" s="164"/>
      <c r="O75" s="164"/>
      <c r="P75" s="164"/>
      <c r="Q75" s="164"/>
      <c r="R75" s="164"/>
      <c r="S75" s="164"/>
      <c r="T75" s="164"/>
      <c r="U75" s="162"/>
      <c r="V75" s="162"/>
      <c r="W75" s="162"/>
      <c r="X75" s="162"/>
      <c r="Y75" s="162"/>
      <c r="Z75" s="162"/>
      <c r="AA75" s="162"/>
      <c r="AB75" s="163"/>
      <c r="AC75" s="7"/>
      <c r="AD75" s="3"/>
    </row>
    <row r="76" s="3" customFormat="1" spans="1:33">
      <c r="A76" s="5"/>
      <c r="B76" s="6"/>
      <c r="C76" s="165"/>
      <c r="D76" s="165"/>
      <c r="E76" s="165"/>
      <c r="F76" s="165"/>
      <c r="G76" s="165"/>
      <c r="H76" s="165"/>
      <c r="I76" s="165"/>
      <c r="J76" s="165"/>
      <c r="K76" s="165"/>
      <c r="L76" s="165"/>
      <c r="M76" s="165"/>
      <c r="N76" s="165"/>
      <c r="O76" s="165"/>
      <c r="P76" s="165"/>
      <c r="Q76" s="165"/>
      <c r="R76" s="165"/>
      <c r="S76" s="165"/>
      <c r="T76" s="165"/>
      <c r="U76" s="159"/>
      <c r="V76" s="159"/>
      <c r="W76" s="159"/>
      <c r="X76" s="159"/>
      <c r="Y76" s="160"/>
      <c r="Z76" s="160"/>
      <c r="AA76" s="160"/>
      <c r="AB76" s="161"/>
      <c r="AC76" s="66"/>
    </row>
    <row r="77" s="3" customFormat="1" spans="1:33">
      <c r="A77" s="5"/>
      <c r="B77" s="6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166"/>
      <c r="X77" s="5"/>
    </row>
    <row r="78" s="3" customFormat="1" spans="1:33">
      <c r="A78" s="5"/>
      <c r="B78" s="6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166"/>
      <c r="X78" s="5"/>
    </row>
    <row r="79" s="3" customFormat="1" spans="1:33">
      <c r="A79" s="5"/>
      <c r="B79" s="6"/>
      <c r="C79" s="7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"/>
      <c r="W79" s="5"/>
      <c r="X79" s="166"/>
    </row>
    <row r="80" s="3" customFormat="1" spans="1:33">
      <c r="A80" s="5"/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9"/>
      <c r="V80" s="5"/>
      <c r="W80" s="5"/>
      <c r="X80" s="166"/>
    </row>
    <row r="81" s="3" customFormat="1" spans="1:24">
      <c r="A81" s="5"/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9"/>
      <c r="V81" s="5"/>
      <c r="W81" s="5"/>
      <c r="X81" s="166"/>
    </row>
    <row r="82" s="3" customFormat="1" spans="1:24">
      <c r="A82" s="5"/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9"/>
      <c r="V82" s="5"/>
      <c r="W82" s="5"/>
      <c r="X82" s="166"/>
    </row>
    <row r="83" s="3" customFormat="1" spans="1:24">
      <c r="A83" s="5"/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166"/>
      <c r="X83" s="5"/>
    </row>
    <row r="84" s="5" customFormat="1" spans="1:24">
      <c r="B84" s="6"/>
      <c r="C84" s="6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W84" s="166"/>
      <c r="X84" s="166"/>
    </row>
    <row r="85" s="3" customFormat="1" spans="1:24">
      <c r="A85" s="5"/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158"/>
      <c r="V85" s="166"/>
      <c r="W85" s="166"/>
      <c r="X85" s="166"/>
    </row>
    <row r="86" s="3" customFormat="1" spans="1:24">
      <c r="A86" s="5"/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158"/>
      <c r="V86" s="166"/>
      <c r="W86" s="166"/>
      <c r="X86" s="166"/>
    </row>
    <row r="87" s="3" customFormat="1" spans="1:24">
      <c r="A87" s="5"/>
      <c r="B87" s="6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166"/>
      <c r="X87" s="5"/>
    </row>
    <row r="88" s="3" customFormat="1" spans="1:24">
      <c r="A88" s="5"/>
      <c r="B88" s="6"/>
      <c r="C88" s="7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="3" customFormat="1" spans="1:24">
      <c r="A89" s="5"/>
      <c r="B89" s="6"/>
      <c r="C89" s="7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="3" customFormat="1" spans="1:24">
      <c r="A90" s="5"/>
      <c r="B90" s="6"/>
      <c r="C90" s="7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="3" customFormat="1" spans="1:24">
      <c r="A91" s="5"/>
      <c r="B91" s="6"/>
      <c r="C91" s="7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="3" customFormat="1" spans="1:24">
      <c r="A92" s="5"/>
      <c r="B92" s="6"/>
      <c r="C92" s="7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="3" customFormat="1" spans="1:24">
      <c r="A93" s="5"/>
      <c r="B93" s="6"/>
      <c r="C93" s="7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="3" customFormat="1" spans="1:24">
      <c r="A94" s="5"/>
      <c r="B94" s="6"/>
      <c r="C94" s="7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="3" customFormat="1" spans="1:24">
      <c r="A95" s="5"/>
      <c r="B95" s="6"/>
      <c r="C95" s="7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="3" customFormat="1" spans="1:24">
      <c r="A96" s="5"/>
      <c r="B96" s="6"/>
      <c r="C96" s="7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="3" customFormat="1" spans="1:22">
      <c r="A97" s="5"/>
      <c r="B97" s="6"/>
      <c r="C97" s="7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="3" customFormat="1" spans="1:22">
      <c r="A98" s="5"/>
      <c r="B98" s="6"/>
      <c r="C98" s="7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="3" customFormat="1" spans="1:22">
      <c r="A99" s="5"/>
      <c r="B99" s="6"/>
      <c r="C99" s="7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="3" customFormat="1" spans="1:22">
      <c r="A100" s="5"/>
      <c r="B100" s="6"/>
      <c r="C100" s="7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="3" customFormat="1" spans="1:22">
      <c r="A101" s="5"/>
      <c r="B101" s="6"/>
      <c r="C101" s="7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="3" customFormat="1" spans="1:22">
      <c r="A102" s="5"/>
      <c r="B102" s="6"/>
      <c r="C102" s="7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="3" customFormat="1" spans="1:22">
      <c r="A103" s="5"/>
      <c r="B103" s="6"/>
      <c r="C103" s="7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="3" customFormat="1" spans="1:22">
      <c r="A104" s="5"/>
      <c r="B104" s="6"/>
      <c r="C104" s="7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="3" customFormat="1" spans="1:22">
      <c r="A105" s="5"/>
      <c r="B105" s="6"/>
      <c r="C105" s="7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="3" customFormat="1" spans="1:22">
      <c r="A106" s="5"/>
      <c r="B106" s="6"/>
      <c r="C106" s="7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="3" customFormat="1" spans="1:22">
      <c r="A107" s="5"/>
      <c r="B107" s="6"/>
      <c r="C107" s="7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="3" customFormat="1" spans="1:22">
      <c r="A108" s="5"/>
      <c r="B108" s="6"/>
      <c r="C108" s="7"/>
    </row>
  </sheetData>
  <mergeCells count="92">
    <mergeCell ref="B1:W1"/>
    <mergeCell ref="D2:F2"/>
    <mergeCell ref="H2:I2"/>
    <mergeCell ref="P2:Q2"/>
    <mergeCell ref="S2:T2"/>
    <mergeCell ref="D3:F3"/>
    <mergeCell ref="H3:I3"/>
    <mergeCell ref="P3:Q3"/>
    <mergeCell ref="S3:T3"/>
    <mergeCell ref="D4:F4"/>
    <mergeCell ref="H4:I4"/>
    <mergeCell ref="P4:Q4"/>
    <mergeCell ref="S4:T4"/>
    <mergeCell ref="D5:F5"/>
    <mergeCell ref="H5:I5"/>
    <mergeCell ref="P5:Q5"/>
    <mergeCell ref="S5:T5"/>
    <mergeCell ref="V5:W5"/>
    <mergeCell ref="D6:F6"/>
    <mergeCell ref="H6:I6"/>
    <mergeCell ref="P6:W6"/>
    <mergeCell ref="D7:F7"/>
    <mergeCell ref="H7:I7"/>
    <mergeCell ref="E8:G8"/>
    <mergeCell ref="H8:I8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B35:C35"/>
    <mergeCell ref="K35:L35"/>
    <mergeCell ref="B36:C36"/>
    <mergeCell ref="K36:L36"/>
    <mergeCell ref="B38:AD38"/>
    <mergeCell ref="B39:C39"/>
    <mergeCell ref="B40:C40"/>
    <mergeCell ref="B41:C41"/>
    <mergeCell ref="B44:C44"/>
    <mergeCell ref="B45:C45"/>
    <mergeCell ref="B48:C48"/>
    <mergeCell ref="B49:C49"/>
    <mergeCell ref="B50:C50"/>
    <mergeCell ref="B51:C51"/>
    <mergeCell ref="B52:C52"/>
    <mergeCell ref="B53:C53"/>
    <mergeCell ref="B54:C54"/>
    <mergeCell ref="B55:C55"/>
    <mergeCell ref="A20:A29"/>
    <mergeCell ref="B8:B9"/>
    <mergeCell ref="B56:B61"/>
    <mergeCell ref="B62:B66"/>
    <mergeCell ref="C8:C9"/>
    <mergeCell ref="D8:D9"/>
    <mergeCell ref="H35:H36"/>
    <mergeCell ref="J8:J9"/>
    <mergeCell ref="M8:M9"/>
    <mergeCell ref="N8:N9"/>
    <mergeCell ref="O2:O6"/>
    <mergeCell ref="O8:O9"/>
    <mergeCell ref="P8:P9"/>
    <mergeCell ref="Q8:Q9"/>
    <mergeCell ref="R8:R9"/>
    <mergeCell ref="S8:S9"/>
    <mergeCell ref="T8:T9"/>
    <mergeCell ref="U8:U9"/>
    <mergeCell ref="V8:V9"/>
    <mergeCell ref="W8:W9"/>
    <mergeCell ref="W10:W29"/>
    <mergeCell ref="B2:C5"/>
  </mergeCells>
  <pageMargins left="0.75" right="0.75" top="1" bottom="1" header="0.5" footer="0.5"/>
  <pageSetup paperSize="9" scale="32" fitToHeight="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区域布置统计表</vt:lpstr>
      <vt:lpstr>大岭山数智谷充电桩</vt:lpstr>
      <vt:lpstr>发电自用比例计算表（无峰谷计价）</vt:lpstr>
      <vt:lpstr>测算表（光伏）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孟</cp:lastModifiedBy>
  <dcterms:created xsi:type="dcterms:W3CDTF">1996-12-18T17:32:00Z</dcterms:created>
  <dcterms:modified xsi:type="dcterms:W3CDTF">2026-10-13T09:05:08Z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1B3865F442284C4C80C408C57EF84360_13</vt:lpwstr>
  </property>
  <property fmtid="{D5CDD505-2E9C-101B-9397-08002B2CF9AE}" pid="4" name="CalculationRule">
    <vt:i4>0</vt:i4>
  </property>
</Properties>
</file>