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firstSheet="2"/>
  </bookViews>
  <sheets>
    <sheet name="封面" sheetId="13" r:id="rId1"/>
    <sheet name="说明" sheetId="14" r:id="rId2"/>
    <sheet name="封-2 招标控制价封面 (2)" sheetId="8" state="hidden" r:id="rId3"/>
    <sheet name="汇总表" sheetId="7" r:id="rId4"/>
    <sheet name="钢筋清单" sheetId="4" state="hidden" r:id="rId5"/>
    <sheet name="钢筋清单 " sheetId="12" r:id="rId6"/>
    <sheet name="（不打印）标段人材机汇总" sheetId="10" state="hidden" r:id="rId7"/>
    <sheet name="（不打印）电力单位工程人材机汇总" sheetId="11" state="hidden" r:id="rId8"/>
    <sheet name="钢筋清单 (2)" sheetId="9" state="hidden" r:id="rId9"/>
  </sheets>
  <externalReferences>
    <externalReference r:id="rId10"/>
    <externalReference r:id="rId11"/>
  </externalReferences>
  <definedNames>
    <definedName name="_xlnm.Print_Titles" localSheetId="4">钢筋清单!$1:$3</definedName>
    <definedName name="_xlnm.Print_Area" localSheetId="4">钢筋清单!$A$1:$J$17</definedName>
    <definedName name="_xlnm.Print_Area" localSheetId="3">汇总表!$A$1:$F$5</definedName>
    <definedName name="_1_1">[1]SJK!#REF!</definedName>
    <definedName name="_1_10">[1]SJK!#REF!</definedName>
    <definedName name="_1_11">[1]SJK!#REF!</definedName>
    <definedName name="_1_12">[1]SJK!#REF!</definedName>
    <definedName name="_1_13">[1]SJK!#REF!</definedName>
    <definedName name="_1_14">[1]SJK!#REF!</definedName>
    <definedName name="_1_15">[1]SJK!#REF!</definedName>
    <definedName name="_1_16">[1]SJK!#REF!</definedName>
    <definedName name="_1_17">[1]SJK!#REF!</definedName>
    <definedName name="_1_18">[1]SJK!#REF!</definedName>
    <definedName name="_1_19">[1]SJK!#REF!</definedName>
    <definedName name="_1_2">[1]SJK!#REF!</definedName>
    <definedName name="_1_20">[1]SJK!#REF!</definedName>
    <definedName name="_1_21">[1]SJK!#REF!</definedName>
    <definedName name="_1_22">[1]SJK!#REF!</definedName>
    <definedName name="_1_23">[1]SJK!#REF!</definedName>
    <definedName name="_1_24">[1]SJK!#REF!</definedName>
    <definedName name="_1_25">[1]SJK!#REF!</definedName>
    <definedName name="_1_26">[1]SJK!#REF!</definedName>
    <definedName name="_1_27">[1]SJK!#REF!</definedName>
    <definedName name="_1_28">[1]SJK!#REF!</definedName>
    <definedName name="_1_29">[1]SJK!#REF!</definedName>
    <definedName name="_1_3">[1]SJK!#REF!</definedName>
    <definedName name="_1_30">[1]SJK!#REF!</definedName>
    <definedName name="_1_31">[1]SJK!#REF!</definedName>
    <definedName name="_1_32">[1]SJK!#REF!</definedName>
    <definedName name="_1_33">[1]SJK!#REF!</definedName>
    <definedName name="_1_34">[1]SJK!#REF!</definedName>
    <definedName name="_1_35">[1]SJK!#REF!</definedName>
    <definedName name="_1_36">[1]SJK!#REF!</definedName>
    <definedName name="_1_37">[1]SJK!#REF!</definedName>
    <definedName name="_1_38">[1]SJK!#REF!</definedName>
    <definedName name="_1_39">[1]SJK!#REF!</definedName>
    <definedName name="_1_4">[1]SJK!#REF!</definedName>
    <definedName name="_1_40">[1]SJK!#REF!</definedName>
    <definedName name="_1_41">[1]SJK!#REF!</definedName>
    <definedName name="_1_42">[1]SJK!#REF!</definedName>
    <definedName name="_1_43">[1]SJK!#REF!</definedName>
    <definedName name="_1_44">[1]SJK!#REF!</definedName>
    <definedName name="_1_45">[1]SJK!#REF!</definedName>
    <definedName name="_1_46">[1]SJK!#REF!</definedName>
    <definedName name="_1_47">[1]SJK!#REF!</definedName>
    <definedName name="_1_48">[1]SJK!#REF!</definedName>
    <definedName name="_1_49">[1]SJK!#REF!</definedName>
    <definedName name="_1_5">[1]SJK!#REF!</definedName>
    <definedName name="_1_50">[1]SJK!#REF!</definedName>
    <definedName name="_1_51">[1]SJK!#REF!</definedName>
    <definedName name="_1_52">[1]SJK!#REF!</definedName>
    <definedName name="_1_53">[1]SJK!#REF!</definedName>
    <definedName name="_1_54">[1]SJK!#REF!</definedName>
    <definedName name="_1_55">[1]SJK!#REF!</definedName>
    <definedName name="_1_56">[1]SJK!#REF!</definedName>
    <definedName name="_1_57">[1]SJK!#REF!</definedName>
    <definedName name="_1_58">[1]SJK!#REF!</definedName>
    <definedName name="_1_59">[1]SJK!#REF!</definedName>
    <definedName name="_1_6">[1]SJK!#REF!</definedName>
    <definedName name="_1_60">[1]SJK!#REF!</definedName>
    <definedName name="_1_61">[1]SJK!#REF!</definedName>
    <definedName name="_1_62">[1]SJK!#REF!</definedName>
    <definedName name="_1_63">[1]SJK!#REF!</definedName>
    <definedName name="_1_64">[1]SJK!#REF!</definedName>
    <definedName name="_1_65">[1]SJK!#REF!</definedName>
    <definedName name="_1_66">[1]SJK!#REF!</definedName>
    <definedName name="_1_67">[1]SJK!#REF!</definedName>
    <definedName name="_1_68">[1]SJK!#REF!</definedName>
    <definedName name="_1_69">[1]SJK!#REF!</definedName>
    <definedName name="_1_7">[1]SJK!#REF!</definedName>
    <definedName name="_1_70">[1]SJK!#REF!</definedName>
    <definedName name="_1_71">[1]SJK!#REF!</definedName>
    <definedName name="_1_72">[1]SJK!#REF!</definedName>
    <definedName name="_1_73">[1]SJK!#REF!</definedName>
    <definedName name="_1_74">[1]SJK!#REF!</definedName>
    <definedName name="_1_75">[1]SJK!#REF!</definedName>
    <definedName name="_1_76">[1]SJK!#REF!</definedName>
    <definedName name="_1_77">[1]SJK!#REF!</definedName>
    <definedName name="_1_78">[1]SJK!#REF!</definedName>
    <definedName name="_1_79">[1]SJK!#REF!</definedName>
    <definedName name="_1_8">[1]SJK!#REF!</definedName>
    <definedName name="_1_80">[1]SJK!#REF!</definedName>
    <definedName name="_1_81">[1]SJK!#REF!</definedName>
    <definedName name="_1_82">[1]SJK!#REF!</definedName>
    <definedName name="_1_83">[1]SJK!#REF!</definedName>
    <definedName name="_1_84">[1]SJK!#REF!</definedName>
    <definedName name="_1_85">[1]SJK!#REF!</definedName>
    <definedName name="_1_86">[1]SJK!#REF!</definedName>
    <definedName name="_1_87">[1]SJK!#REF!</definedName>
    <definedName name="_1_9">[1]SJK!#REF!</definedName>
    <definedName name="_2_1">[1]SJK!#REF!</definedName>
    <definedName name="_2_10">[1]SJK!#REF!</definedName>
    <definedName name="_2_11">[1]SJK!#REF!</definedName>
    <definedName name="_2_12">[1]SJK!#REF!</definedName>
    <definedName name="_2_13">[1]SJK!#REF!</definedName>
    <definedName name="_2_14">[1]SJK!#REF!</definedName>
    <definedName name="_2_15">[1]SJK!#REF!</definedName>
    <definedName name="_2_16">[1]SJK!#REF!</definedName>
    <definedName name="_2_17">[1]SJK!#REF!</definedName>
    <definedName name="_2_18">[1]SJK!#REF!</definedName>
    <definedName name="_2_19">[1]SJK!#REF!</definedName>
    <definedName name="_2_2">[1]SJK!#REF!</definedName>
    <definedName name="_2_20">[1]SJK!#REF!</definedName>
    <definedName name="_2_21">[1]SJK!#REF!</definedName>
    <definedName name="_2_22">[1]SJK!#REF!</definedName>
    <definedName name="_2_23">[1]SJK!#REF!</definedName>
    <definedName name="_2_24">[1]SJK!#REF!</definedName>
    <definedName name="_2_25">[1]SJK!#REF!</definedName>
    <definedName name="_2_26">[1]SJK!#REF!</definedName>
    <definedName name="_2_27">[1]SJK!#REF!</definedName>
    <definedName name="_2_28">[1]SJK!#REF!</definedName>
    <definedName name="_2_29">[1]SJK!#REF!</definedName>
    <definedName name="_2_3">[1]SJK!#REF!</definedName>
    <definedName name="_2_30">[1]SJK!#REF!</definedName>
    <definedName name="_2_31">[1]SJK!#REF!</definedName>
    <definedName name="_2_32">[1]SJK!#REF!</definedName>
    <definedName name="_2_33">[1]SJK!#REF!</definedName>
    <definedName name="_2_4">[1]SJK!#REF!</definedName>
    <definedName name="_2_5">[1]SJK!#REF!</definedName>
    <definedName name="_2_6">[1]SJK!#REF!</definedName>
    <definedName name="_2_7">[1]SJK!#REF!</definedName>
    <definedName name="_2_8">[1]SJK!#REF!</definedName>
    <definedName name="_2_9">[1]SJK!#REF!</definedName>
    <definedName name="_3_17">[1]SJB!#REF!</definedName>
    <definedName name="_3_75">[1]SJB!#REF!</definedName>
    <definedName name="_3_91">[1]SJB!#REF!</definedName>
    <definedName name="_7_99B">[1]SJB!#REF!</definedName>
    <definedName name="_901">[1]SJB!#REF!</definedName>
    <definedName name="_902">[1]SJB!#REF!</definedName>
    <definedName name="Database" hidden="1">[1]SJB!#REF!</definedName>
    <definedName name="N0">[1]SJB!#REF!</definedName>
    <definedName name="____xlfn.SUMIFS" hidden="1">#NAME?</definedName>
    <definedName name="___xlfn.SUMIFS" hidden="1">#NAME?</definedName>
    <definedName name="__xlfn.SUMIFS" hidden="1">#NAME?</definedName>
    <definedName name="gongchengliangqingdan">[2]Sheet1!$A$2:$IV$2</definedName>
    <definedName name="冬季施工增加费">0.35%</definedName>
    <definedName name="风沙地区施工增加费">3%</definedName>
    <definedName name="行车干扰增加费">42%</definedName>
    <definedName name="间接费">10%</definedName>
    <definedName name="劳动保险费">3.2%</definedName>
    <definedName name="李">[2]Sheet1!$A$2:$IV$2</definedName>
    <definedName name="利润率">0%</definedName>
    <definedName name="其他直接费">1.66%</definedName>
    <definedName name="企业管理费">9.63%</definedName>
    <definedName name="人工费">21.33</definedName>
    <definedName name="人工价差">2.68</definedName>
    <definedName name="三项费用">1%</definedName>
    <definedName name="税金">3.22%</definedName>
    <definedName name="现场管理费">6%</definedName>
    <definedName name="小临">2.41%</definedName>
    <definedName name="夜间施工增加费">0.22%</definedName>
    <definedName name="郑徐郑局">[2]Sheet1!$A$2:$IV$2</definedName>
    <definedName name="_xlnm.Print_Titles" localSheetId="8">'钢筋清单 (2)'!$1:$3</definedName>
    <definedName name="_xlnm.Print_Area" localSheetId="8">'钢筋清单 (2)'!$A$1:$J$17</definedName>
    <definedName name="_xlnm.Print_Titles" localSheetId="5">'钢筋清单 '!$1:$3</definedName>
    <definedName name="_xlnm.Print_Area" localSheetId="5">'钢筋清单 '!$A$1:$J$22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<sst xmlns="http://schemas.openxmlformats.org/spreadsheetml/2006/main" count="580" uniqueCount="171">
  <si>
    <t>中山路历史文化街区改造项目-街区建筑保护提升工程标段一——钢筋采购</t>
  </si>
  <si>
    <t>采 购 控 制 价</t>
  </si>
  <si>
    <t>招  标  人：</t>
  </si>
  <si>
    <t xml:space="preserve">东莞市城市工程建设集团有限公司 </t>
  </si>
  <si>
    <t>编  制  人：</t>
  </si>
  <si>
    <t>编制时间：   年   月   日</t>
  </si>
  <si>
    <t>审  核  人：</t>
  </si>
  <si>
    <t>审核时间：   年   月   日</t>
  </si>
  <si>
    <t>编制说明</t>
  </si>
  <si>
    <t xml:space="preserve">一、 </t>
  </si>
  <si>
    <t>工程概况：</t>
  </si>
  <si>
    <t>1、</t>
  </si>
  <si>
    <t>工程名称：</t>
  </si>
  <si>
    <t>中山路历史文化街区改造项目-街区建筑保护提升工程标段一——钢筋采购预算</t>
  </si>
  <si>
    <t>二、</t>
  </si>
  <si>
    <t>编制依据：</t>
  </si>
  <si>
    <t xml:space="preserve">
1、各规格钢筋按 2026年8月24日广州市场建筑钢材价格行情中的韶钢品牌单价每吨下调10元作为指导价</t>
  </si>
  <si>
    <t>2、</t>
  </si>
  <si>
    <t>三、</t>
  </si>
  <si>
    <t>其他说明</t>
  </si>
  <si>
    <t>工程量量为暂定量，实际数量以现场需求量为准。</t>
  </si>
  <si>
    <t>东莞市石龙镇中山路历史街区改造项目（中山路历史文化街区改造项目）-市政基础设施提升改造工程-钢筋</t>
  </si>
  <si>
    <t>工程</t>
  </si>
  <si>
    <t>采  购  人：</t>
  </si>
  <si>
    <t>东莞市城市工程建设集团有限公司</t>
  </si>
  <si>
    <t xml:space="preserve">   </t>
  </si>
  <si>
    <t>日期：</t>
  </si>
  <si>
    <t>封-2</t>
  </si>
  <si>
    <t>中山路历史文化街区改造项目-街区建筑保护提升工程标段一——钢筋采购控制价汇总表</t>
  </si>
  <si>
    <t>序号</t>
  </si>
  <si>
    <t>费用名称</t>
  </si>
  <si>
    <t>采购控制价</t>
  </si>
  <si>
    <t>采购限价
（元）</t>
  </si>
  <si>
    <t>报价
（元）</t>
  </si>
  <si>
    <t>备注</t>
  </si>
  <si>
    <t>钢筋费用</t>
  </si>
  <si>
    <t>汇总报价</t>
  </si>
  <si>
    <t>小写：</t>
  </si>
  <si>
    <t>大写：</t>
  </si>
  <si>
    <t>东莞市石龙镇中山路历史街区改造项目（中山路历史文化街区改造项目）-市政基础设施提升改造工程-钢筋控制价</t>
  </si>
  <si>
    <t>工程名称：东莞市石龙镇中山路历史街区改造项目（中山路历史文化街区改造项目）-市政基础设施提升改造工程</t>
  </si>
  <si>
    <t>名称</t>
  </si>
  <si>
    <t>材质</t>
  </si>
  <si>
    <t>规格、型号</t>
  </si>
  <si>
    <t>数量（暂定）</t>
  </si>
  <si>
    <t>指导价
（元/吨）</t>
  </si>
  <si>
    <t>固定浮动价（±元/吨）</t>
  </si>
  <si>
    <t>浮动后单价（元）</t>
  </si>
  <si>
    <t>合价</t>
  </si>
  <si>
    <t>(1)</t>
  </si>
  <si>
    <t>(2)</t>
  </si>
  <si>
    <t>(3)</t>
  </si>
  <si>
    <t>（4=2+3）</t>
  </si>
  <si>
    <t>（5=1*4）</t>
  </si>
  <si>
    <t>圆钢</t>
  </si>
  <si>
    <t>HRB400E</t>
  </si>
  <si>
    <t>φ6盘钢</t>
  </si>
  <si>
    <t>φ8-10盘钢</t>
  </si>
  <si>
    <t>三级螺纹钢筋</t>
  </si>
  <si>
    <t>φ12</t>
  </si>
  <si>
    <t>φ14</t>
  </si>
  <si>
    <t>φ16</t>
  </si>
  <si>
    <t>φ18</t>
  </si>
  <si>
    <t>φ20</t>
  </si>
  <si>
    <t>φ22</t>
  </si>
  <si>
    <t>φ25</t>
  </si>
  <si>
    <t>φ28-32</t>
  </si>
  <si>
    <t>合计</t>
  </si>
  <si>
    <t xml:space="preserve">备注：
1、各规格钢筋指导价暂按 2025年8月 22日 17:10东莞市场建筑钢材价格行情中的韶钢品牌单价作为指导价，具体品牌及单价以下订单当天我的钢铁网东莞市场建筑钢材价格为准，浮动单价以中标价浮动金额为准。本表未包含的钢筋材质、规格、型号按不同计重方式以下订单当天我的钢铁网东莞市场建筑钢材对应品牌及单价加固定浮动价计价
2、我的钢铁网广州市场建筑钢材行情价格以当天下午价格为准。
3、若选用品牌下单当天我的钢铁网无相应价格，参考临近日期同规格品牌单价。
4、钢筋进场需提供各种规格厂家质量证明文件复印件加盖厂家或供货商公章，合格证。
5、以上单价已含运输费、过磅费、卸装费、13%的增值税费，计重方式：盘钢按过磅计量、直条按理论重量计算。
</t>
  </si>
  <si>
    <t>中山路历史文化街区改造项目-街区建筑保护提升工程标段一-钢筋采购</t>
  </si>
  <si>
    <t>工程名称：中山路历史文化街区改造项目-街区建筑保护提升工程标段一</t>
  </si>
  <si>
    <t>数量t（暂定）</t>
  </si>
  <si>
    <t>盘螺</t>
  </si>
  <si>
    <t>φ6</t>
  </si>
  <si>
    <t>φ8-10</t>
  </si>
  <si>
    <t>φ14-16</t>
  </si>
  <si>
    <t>φ10</t>
  </si>
  <si>
    <t>φ36-40</t>
  </si>
  <si>
    <t>含税合计</t>
  </si>
  <si>
    <t>税金（13%）</t>
  </si>
  <si>
    <t>不含税合计</t>
  </si>
  <si>
    <t>备注：
1、各规格钢筋指导价暂按 2026年8月24日广州市场建筑钢材价格行情中的韶钢品牌单价作为指导价，具体品牌及单价以下订单当天我的钢铁网广州市场建筑钢材价格为准，浮动单价以中标价浮动金额为准。本表未包含的钢筋材质、规格、型号按不同计重方式以下订单当天我的钢铁网广州市场建筑钢材对应品牌及单价加固定浮动价计价
2、我的钢铁网广州市场建筑钢材行情价格以当天下午价格为准。
3、若选用品牌下单当天我的钢铁网无相应价格，参考临近日期同规格品牌单价。
4、钢筋进场需提供各种规格厂家质量证明文件复印件加盖厂家或供货商公章，合格证。
5、以上单价已含运输费、过磅费、卸装费、13%的增值税费，计重方式：盘钢按过磅计量、直条按理论重量计算。</t>
  </si>
  <si>
    <t>编码</t>
  </si>
  <si>
    <t>类别</t>
  </si>
  <si>
    <t>规格型号</t>
  </si>
  <si>
    <t>单位</t>
  </si>
  <si>
    <t>数量</t>
  </si>
  <si>
    <t>不含税预算价</t>
  </si>
  <si>
    <t>不含税市场价</t>
  </si>
  <si>
    <t>含税市场价</t>
  </si>
  <si>
    <t>税率</t>
  </si>
  <si>
    <t>不含税市场价合计</t>
  </si>
  <si>
    <t>含税市场价合计</t>
  </si>
  <si>
    <t>价差</t>
  </si>
  <si>
    <t>价差合计</t>
  </si>
  <si>
    <t>供货方式</t>
  </si>
  <si>
    <t>二次分析</t>
  </si>
  <si>
    <t>直接修改单价</t>
  </si>
  <si>
    <t>是否暂估</t>
  </si>
  <si>
    <t>主要材料</t>
  </si>
  <si>
    <t>价格来源</t>
  </si>
  <si>
    <t>市场价锁定</t>
  </si>
  <si>
    <t>输出标记</t>
  </si>
  <si>
    <t>产地</t>
  </si>
  <si>
    <t>厂家</t>
  </si>
  <si>
    <t>质量等级</t>
  </si>
  <si>
    <t>品牌</t>
  </si>
  <si>
    <t>6</t>
  </si>
  <si>
    <t>01010030</t>
  </si>
  <si>
    <t>材</t>
  </si>
  <si>
    <t>热轧圆盘条</t>
  </si>
  <si>
    <t>φ10以内</t>
  </si>
  <si>
    <t>t</t>
  </si>
  <si>
    <t>自行采购</t>
  </si>
  <si>
    <t/>
  </si>
  <si>
    <t>7</t>
  </si>
  <si>
    <t>φ12~16</t>
  </si>
  <si>
    <t>自行询价</t>
  </si>
  <si>
    <t>9</t>
  </si>
  <si>
    <t>01010031</t>
  </si>
  <si>
    <t>10</t>
  </si>
  <si>
    <t>01010035</t>
  </si>
  <si>
    <t>11</t>
  </si>
  <si>
    <t>φ12~25</t>
  </si>
  <si>
    <t>12</t>
  </si>
  <si>
    <t>01010040</t>
  </si>
  <si>
    <t>螺纹钢筋</t>
  </si>
  <si>
    <t>φ18~25</t>
  </si>
  <si>
    <t>13</t>
  </si>
  <si>
    <t>14</t>
  </si>
  <si>
    <t>φ18-25以内</t>
  </si>
  <si>
    <t>15</t>
  </si>
  <si>
    <t>φ12-16以内</t>
  </si>
  <si>
    <t>17</t>
  </si>
  <si>
    <t>01010120</t>
  </si>
  <si>
    <t>18</t>
  </si>
  <si>
    <t>01010125</t>
  </si>
  <si>
    <t>19</t>
  </si>
  <si>
    <t>φ10~25</t>
  </si>
  <si>
    <t>20</t>
  </si>
  <si>
    <t>φ12-16</t>
  </si>
  <si>
    <t>21</t>
  </si>
  <si>
    <t>φ18-25</t>
  </si>
  <si>
    <t>22</t>
  </si>
  <si>
    <t>东莞信息价(2025年06月)</t>
  </si>
  <si>
    <t>23</t>
  </si>
  <si>
    <t>29</t>
  </si>
  <si>
    <t>01090022</t>
  </si>
  <si>
    <t>30</t>
  </si>
  <si>
    <t>螺纹钢</t>
  </si>
  <si>
    <t>31</t>
  </si>
  <si>
    <t>01090023</t>
  </si>
  <si>
    <t>32</t>
  </si>
  <si>
    <t>01090030</t>
  </si>
  <si>
    <t>33</t>
  </si>
  <si>
    <t>01090035</t>
  </si>
  <si>
    <t>镀锌圆钢</t>
  </si>
  <si>
    <t>税率(%)</t>
  </si>
  <si>
    <t>不含税价差</t>
  </si>
  <si>
    <t>不含税预算价合计</t>
  </si>
  <si>
    <t>不含税价差合计</t>
  </si>
  <si>
    <t>乙供</t>
  </si>
  <si>
    <t>C01020712@1</t>
  </si>
  <si>
    <t>φ10以下</t>
  </si>
  <si>
    <t>T</t>
  </si>
  <si>
    <t>C01020713@1</t>
  </si>
  <si>
    <t>φ10以上</t>
  </si>
  <si>
    <t>东莞市石龙镇产业基地配套路网交通综合整治项目-外环连接线钢筋控制价</t>
  </si>
  <si>
    <t>工程名称：东莞市石龙镇产业基地配套路网交通综合整治项目-外环连接线钢筋工程</t>
  </si>
  <si>
    <t>HPB300</t>
  </si>
  <si>
    <t xml:space="preserve">备注：
1、各规格钢筋指导价暂按 2025年 6 月 6 日 17:10东莞市场建筑钢材价格行情中的广钢品牌单价作为指导价，具体品牌及单价以下订单当天我的钢铁网东莞市场建筑钢材价格为准，浮动单价以中标价浮动金额为准。本表未包含的钢筋材质、规格、型号按不同计重方式以下订单当天我的钢铁网东莞市场建筑钢材对应品牌及单价加固定浮动价计价
2、我的钢铁网广州市场建筑钢材行情价格以当天下午价格为准。
3、若选用品牌下单当天我的钢铁网无相应价格，参考临近日期同规格品牌单价。
4、钢筋进场需提供各种规格厂家质量证明文件复印件加盖厂家或供货商公章，合格证。
5、以上单价已含运输费、过磅费、卸装费、13%的增值税费，计重方式：盘钢按过磅计量、直条按理论重量计算。
</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</si>
</sst>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_ "/>
    <numFmt numFmtId="178" formatCode="[DBNum2][$RMB]General;[Red][DBNum2][$RMB]General"/>
    <numFmt numFmtId="179" formatCode="#,##0.00_ "/>
  </numFmts>
  <fonts count="39">
    <font>
      <sz val="9"/>
      <color theme="1"/>
      <name val="??"/>
      <charset val="134"/>
      <scheme val="minor"/>
    </font>
    <font>
      <b/>
      <sz val="18"/>
      <name val="华文中宋"/>
      <charset val="134"/>
    </font>
    <font>
      <sz val="10"/>
      <name val="宋体"/>
      <charset val="134"/>
    </font>
    <font>
      <b/>
      <sz val="20"/>
      <name val="华文中宋"/>
      <charset val="134"/>
    </font>
    <font>
      <sz val="9"/>
      <color theme="1"/>
      <name val="宋体"/>
      <charset val="134"/>
    </font>
    <font>
      <sz val="10"/>
      <name val="Arial"/>
      <charset val="0"/>
    </font>
    <font>
      <sz val="9"/>
      <color indexed="8"/>
      <name val="宋体"/>
      <charset val="0"/>
    </font>
    <font>
      <sz val="9"/>
      <color indexed="10"/>
      <name val="宋体"/>
      <charset val="0"/>
    </font>
    <font>
      <b/>
      <sz val="9"/>
      <color indexed="14"/>
      <name val="SimSun"/>
      <charset val="0"/>
    </font>
    <font>
      <sz val="12"/>
      <name val="宋体"/>
      <charset val="134"/>
    </font>
    <font>
      <b/>
      <sz val="12"/>
      <name val="宋体"/>
      <charset val="134"/>
    </font>
    <font>
      <sz val="9"/>
      <name val="宋体"/>
      <charset val="134"/>
    </font>
    <font>
      <b/>
      <sz val="18"/>
      <name val="宋体"/>
      <charset val="134"/>
    </font>
    <font>
      <b/>
      <sz val="22"/>
      <name val="宋体"/>
      <charset val="134"/>
    </font>
    <font>
      <b/>
      <sz val="14"/>
      <name val="宋体"/>
      <charset val="134"/>
    </font>
    <font>
      <sz val="14"/>
      <name val="宋体"/>
      <charset val="134"/>
    </font>
    <font>
      <sz val="18"/>
      <name val="宋体"/>
      <charset val="134"/>
    </font>
    <font>
      <sz val="11"/>
      <name val="宋体"/>
      <charset val="134"/>
    </font>
    <font>
      <sz val="10"/>
      <name val="宋体"/>
      <charset val="0"/>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indexed="9"/>
        <bgColor indexed="1"/>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thin">
        <color indexed="8"/>
      </bottom>
      <diagonal/>
    </border>
    <border>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5" borderId="1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6" applyNumberFormat="0" applyFill="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7" fillId="0" borderId="0" applyNumberFormat="0" applyFill="0" applyBorder="0" applyAlignment="0" applyProtection="0">
      <alignment vertical="center"/>
    </xf>
    <xf numFmtId="0" fontId="28" fillId="6" borderId="18" applyNumberFormat="0" applyAlignment="0" applyProtection="0">
      <alignment vertical="center"/>
    </xf>
    <xf numFmtId="0" fontId="29" fillId="7" borderId="19" applyNumberFormat="0" applyAlignment="0" applyProtection="0">
      <alignment vertical="center"/>
    </xf>
    <xf numFmtId="0" fontId="30" fillId="7" borderId="18" applyNumberFormat="0" applyAlignment="0" applyProtection="0">
      <alignment vertical="center"/>
    </xf>
    <xf numFmtId="0" fontId="31" fillId="8" borderId="20" applyNumberFormat="0" applyAlignment="0" applyProtection="0">
      <alignment vertical="center"/>
    </xf>
    <xf numFmtId="0" fontId="32" fillId="0" borderId="21" applyNumberFormat="0" applyFill="0" applyAlignment="0" applyProtection="0">
      <alignment vertical="center"/>
    </xf>
    <xf numFmtId="0" fontId="33" fillId="0" borderId="22" applyNumberFormat="0" applyFill="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7" fillId="35" borderId="0" applyNumberFormat="0" applyBorder="0" applyAlignment="0" applyProtection="0">
      <alignment vertical="center"/>
    </xf>
    <xf numFmtId="0" fontId="0" fillId="0" borderId="0"/>
  </cellStyleXfs>
  <cellXfs count="112">
    <xf numFmtId="0" fontId="0" fillId="0" borderId="0" xfId="49"/>
    <xf numFmtId="0" fontId="0" fillId="0" borderId="0" xfId="49" applyFill="1"/>
    <xf numFmtId="0" fontId="0" fillId="0" borderId="0" xfId="49" applyFill="1" applyAlignment="1">
      <alignment horizontal="left"/>
    </xf>
    <xf numFmtId="0" fontId="0" fillId="0" borderId="0" xfId="49" applyFill="1" applyAlignment="1">
      <alignment horizontal="center"/>
    </xf>
    <xf numFmtId="0" fontId="1" fillId="0" borderId="0" xfId="49" applyFont="1" applyFill="1" applyAlignment="1">
      <alignment horizontal="center" vertical="center" wrapText="1"/>
    </xf>
    <xf numFmtId="0" fontId="2" fillId="0" borderId="0" xfId="49" applyFont="1" applyFill="1" applyBorder="1" applyAlignment="1">
      <alignment vertical="center"/>
    </xf>
    <xf numFmtId="0" fontId="2" fillId="0" borderId="0" xfId="49" applyFont="1" applyFill="1" applyBorder="1" applyAlignment="1">
      <alignment vertical="center" wrapText="1"/>
    </xf>
    <xf numFmtId="0" fontId="2" fillId="0" borderId="0" xfId="49" applyFont="1" applyFill="1" applyBorder="1" applyAlignment="1">
      <alignment horizontal="left" vertical="center" wrapText="1"/>
    </xf>
    <xf numFmtId="0" fontId="3" fillId="0" borderId="0" xfId="49" applyFont="1" applyFill="1" applyAlignment="1">
      <alignment horizontal="center" vertical="center" wrapText="1"/>
    </xf>
    <xf numFmtId="14" fontId="0" fillId="0" borderId="0" xfId="49" applyNumberFormat="1" applyFill="1"/>
    <xf numFmtId="0" fontId="2" fillId="0" borderId="1" xfId="49" applyFont="1" applyFill="1" applyBorder="1" applyAlignment="1">
      <alignment horizontal="center" vertical="center" wrapText="1"/>
    </xf>
    <xf numFmtId="0" fontId="2" fillId="0" borderId="2" xfId="49" applyFont="1" applyFill="1" applyBorder="1" applyAlignment="1">
      <alignment horizontal="center" vertical="center" wrapText="1"/>
    </xf>
    <xf numFmtId="0" fontId="0" fillId="0" borderId="0" xfId="49" applyFill="1" applyAlignment="1">
      <alignment horizontal="center" vertical="center"/>
    </xf>
    <xf numFmtId="0" fontId="2" fillId="0" borderId="3" xfId="49" applyFont="1" applyFill="1" applyBorder="1" applyAlignment="1">
      <alignment horizontal="center" vertical="center" wrapText="1"/>
    </xf>
    <xf numFmtId="49" fontId="2" fillId="0" borderId="2" xfId="49" applyNumberFormat="1" applyFont="1" applyFill="1" applyBorder="1" applyAlignment="1">
      <alignment horizontal="center" vertical="center" wrapText="1"/>
    </xf>
    <xf numFmtId="176" fontId="2" fillId="0" borderId="2" xfId="49" applyNumberFormat="1" applyFont="1" applyFill="1" applyBorder="1" applyAlignment="1">
      <alignment horizontal="center" vertical="center" wrapText="1"/>
    </xf>
    <xf numFmtId="177" fontId="2" fillId="0" borderId="2" xfId="49" applyNumberFormat="1" applyFont="1" applyFill="1" applyBorder="1" applyAlignment="1">
      <alignment horizontal="center" vertical="center" wrapText="1"/>
    </xf>
    <xf numFmtId="0" fontId="2" fillId="0" borderId="2" xfId="49" applyFont="1" applyFill="1" applyBorder="1" applyAlignment="1">
      <alignment horizontal="right" vertical="center" wrapText="1"/>
    </xf>
    <xf numFmtId="0" fontId="4" fillId="0" borderId="2" xfId="49" applyFont="1" applyFill="1" applyBorder="1" applyAlignment="1">
      <alignment horizontal="center" vertical="center"/>
    </xf>
    <xf numFmtId="176" fontId="4" fillId="0" borderId="2" xfId="49" applyNumberFormat="1" applyFont="1" applyFill="1" applyBorder="1" applyAlignment="1">
      <alignment horizontal="center" vertical="center"/>
    </xf>
    <xf numFmtId="0" fontId="0" fillId="0" borderId="2" xfId="49" applyFill="1" applyBorder="1" applyAlignment="1">
      <alignment horizontal="center" vertical="center"/>
    </xf>
    <xf numFmtId="0" fontId="0" fillId="0" borderId="2" xfId="49" applyFill="1" applyBorder="1" applyAlignment="1">
      <alignment horizontal="left"/>
    </xf>
    <xf numFmtId="0" fontId="0" fillId="0" borderId="2" xfId="49" applyFill="1" applyBorder="1" applyAlignment="1">
      <alignment horizontal="center"/>
    </xf>
    <xf numFmtId="0" fontId="0" fillId="0" borderId="2" xfId="49" applyFill="1" applyBorder="1"/>
    <xf numFmtId="0" fontId="0" fillId="0" borderId="0" xfId="49" applyFill="1" applyAlignment="1">
      <alignment horizontal="left" vertical="top" wrapText="1"/>
    </xf>
    <xf numFmtId="0" fontId="0" fillId="0" borderId="0" xfId="49" applyFill="1" applyAlignment="1">
      <alignment horizontal="left" vertical="top"/>
    </xf>
    <xf numFmtId="4" fontId="0" fillId="0" borderId="0" xfId="49" applyNumberFormat="1" applyFill="1" applyAlignment="1">
      <alignment horizontal="left"/>
    </xf>
    <xf numFmtId="10" fontId="0" fillId="0" borderId="0" xfId="49" applyNumberFormat="1" applyFill="1" applyAlignment="1">
      <alignment horizontal="center"/>
    </xf>
    <xf numFmtId="0" fontId="5" fillId="2" borderId="0" xfId="0" applyFont="1" applyFill="1" applyBorder="1" applyAlignment="1"/>
    <xf numFmtId="0" fontId="5" fillId="0" borderId="0" xfId="0" applyFont="1" applyFill="1" applyBorder="1" applyAlignment="1"/>
    <xf numFmtId="0" fontId="6" fillId="0" borderId="2" xfId="0" applyFont="1" applyFill="1" applyBorder="1" applyAlignment="1">
      <alignment horizontal="center" vertical="center" wrapText="1"/>
    </xf>
    <xf numFmtId="0" fontId="7" fillId="2" borderId="2" xfId="0" applyFont="1" applyFill="1" applyBorder="1" applyAlignment="1">
      <alignment horizontal="justify" vertical="center" wrapText="1"/>
    </xf>
    <xf numFmtId="0" fontId="6" fillId="2" borderId="2" xfId="0" applyFont="1" applyFill="1" applyBorder="1" applyAlignment="1">
      <alignment horizontal="left" vertical="center" wrapText="1"/>
    </xf>
    <xf numFmtId="0" fontId="6" fillId="2" borderId="2" xfId="0" applyFont="1" applyFill="1" applyBorder="1" applyAlignment="1">
      <alignment horizontal="justify" vertical="center" wrapText="1"/>
    </xf>
    <xf numFmtId="176" fontId="6" fillId="3" borderId="2" xfId="0" applyNumberFormat="1" applyFont="1" applyFill="1" applyBorder="1" applyAlignment="1">
      <alignment horizontal="left" vertical="center" wrapText="1"/>
    </xf>
    <xf numFmtId="0" fontId="8" fillId="2" borderId="2" xfId="0" applyFont="1" applyFill="1" applyBorder="1" applyAlignment="1">
      <alignment horizontal="left" vertical="center" wrapText="1"/>
    </xf>
    <xf numFmtId="176" fontId="6" fillId="2" borderId="2" xfId="0" applyNumberFormat="1" applyFont="1" applyFill="1" applyBorder="1" applyAlignment="1">
      <alignment horizontal="left" vertical="center" wrapText="1"/>
    </xf>
    <xf numFmtId="0" fontId="7" fillId="0" borderId="2" xfId="0" applyFont="1" applyFill="1" applyBorder="1" applyAlignment="1">
      <alignment horizontal="justify"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justify" vertical="center" wrapText="1"/>
    </xf>
    <xf numFmtId="0" fontId="8" fillId="0" borderId="2" xfId="0" applyFont="1" applyFill="1" applyBorder="1" applyAlignment="1">
      <alignment horizontal="left" vertical="center" wrapText="1"/>
    </xf>
    <xf numFmtId="176" fontId="6" fillId="0" borderId="2" xfId="0" applyNumberFormat="1" applyFont="1" applyFill="1" applyBorder="1" applyAlignment="1">
      <alignment horizontal="left" vertical="center" wrapText="1"/>
    </xf>
    <xf numFmtId="176" fontId="4" fillId="0" borderId="1" xfId="49" applyNumberFormat="1" applyFont="1" applyFill="1" applyBorder="1" applyAlignment="1">
      <alignment horizontal="center" vertical="center"/>
    </xf>
    <xf numFmtId="176" fontId="2" fillId="0" borderId="1" xfId="49" applyNumberFormat="1" applyFont="1" applyFill="1" applyBorder="1" applyAlignment="1">
      <alignment horizontal="center" vertical="center" wrapText="1"/>
    </xf>
    <xf numFmtId="178" fontId="2" fillId="0" borderId="2" xfId="49" applyNumberFormat="1" applyFont="1" applyFill="1" applyBorder="1" applyAlignment="1">
      <alignment horizontal="right" vertical="center" wrapText="1"/>
    </xf>
    <xf numFmtId="176" fontId="2" fillId="0" borderId="4" xfId="49" applyNumberFormat="1" applyFont="1" applyFill="1" applyBorder="1" applyAlignment="1">
      <alignment horizontal="center" vertical="center" wrapText="1"/>
    </xf>
    <xf numFmtId="176" fontId="2" fillId="0" borderId="3" xfId="49" applyNumberFormat="1" applyFont="1" applyFill="1" applyBorder="1" applyAlignment="1">
      <alignment horizontal="center" vertical="center" wrapText="1"/>
    </xf>
    <xf numFmtId="0" fontId="0" fillId="0" borderId="0" xfId="49" applyFill="1" applyAlignment="1">
      <alignment horizontal="left" vertical="center" wrapText="1"/>
    </xf>
    <xf numFmtId="0" fontId="0" fillId="0" borderId="0" xfId="49" applyFill="1" applyAlignment="1">
      <alignment horizontal="left" vertical="center"/>
    </xf>
    <xf numFmtId="10" fontId="0" fillId="0" borderId="0" xfId="49" applyNumberFormat="1" applyFill="1"/>
    <xf numFmtId="177" fontId="2" fillId="3" borderId="2" xfId="49" applyNumberFormat="1" applyFont="1" applyFill="1" applyBorder="1" applyAlignment="1">
      <alignment horizontal="center" vertical="center" wrapText="1"/>
    </xf>
    <xf numFmtId="0" fontId="9" fillId="0" borderId="0" xfId="0" applyFont="1" applyFill="1" applyAlignment="1">
      <alignment vertical="center"/>
    </xf>
    <xf numFmtId="0" fontId="10" fillId="0" borderId="0" xfId="0" applyFont="1" applyFill="1" applyAlignment="1">
      <alignment horizontal="center" vertical="center" wrapText="1"/>
    </xf>
    <xf numFmtId="177" fontId="10" fillId="0" borderId="0" xfId="0" applyNumberFormat="1" applyFont="1" applyFill="1" applyAlignment="1">
      <alignment horizontal="center" vertical="center" wrapText="1"/>
    </xf>
    <xf numFmtId="0" fontId="10" fillId="0" borderId="2" xfId="0" applyFont="1" applyFill="1" applyBorder="1" applyAlignment="1">
      <alignment horizontal="center" vertical="center"/>
    </xf>
    <xf numFmtId="177" fontId="10"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179" fontId="9" fillId="0" borderId="2" xfId="0" applyNumberFormat="1" applyFont="1" applyFill="1" applyBorder="1" applyAlignment="1">
      <alignment horizontal="center" vertical="center"/>
    </xf>
    <xf numFmtId="0" fontId="11" fillId="0" borderId="2" xfId="0" applyFont="1" applyFill="1" applyBorder="1" applyAlignment="1">
      <alignment vertical="center"/>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177" fontId="9" fillId="0" borderId="2" xfId="0" applyNumberFormat="1" applyFont="1" applyFill="1" applyBorder="1" applyAlignment="1">
      <alignment vertical="center"/>
    </xf>
    <xf numFmtId="0" fontId="11" fillId="0" borderId="8" xfId="0" applyFont="1" applyFill="1" applyBorder="1" applyAlignment="1">
      <alignment horizontal="center" vertical="center"/>
    </xf>
    <xf numFmtId="0" fontId="11"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2" xfId="0" applyFont="1" applyFill="1" applyBorder="1" applyAlignment="1">
      <alignment horizontal="center" vertical="center"/>
    </xf>
    <xf numFmtId="0" fontId="0" fillId="0" borderId="0" xfId="49" applyFont="1" applyFill="1" applyAlignment="1"/>
    <xf numFmtId="0" fontId="11" fillId="0" borderId="0" xfId="49" applyFont="1" applyFill="1" applyAlignment="1">
      <alignment horizontal="left" vertical="center" wrapText="1"/>
    </xf>
    <xf numFmtId="0" fontId="12" fillId="0" borderId="13" xfId="49" applyFont="1" applyFill="1" applyBorder="1" applyAlignment="1">
      <alignment horizontal="center" wrapText="1"/>
    </xf>
    <xf numFmtId="0" fontId="12" fillId="0" borderId="0" xfId="49" applyFont="1" applyFill="1" applyAlignment="1">
      <alignment horizontal="left" wrapText="1"/>
    </xf>
    <xf numFmtId="0" fontId="13" fillId="0" borderId="0" xfId="49" applyFont="1" applyFill="1" applyAlignment="1">
      <alignment horizontal="center" wrapText="1"/>
    </xf>
    <xf numFmtId="0" fontId="13" fillId="0" borderId="0" xfId="49" applyFont="1" applyFill="1" applyAlignment="1">
      <alignment wrapText="1"/>
    </xf>
    <xf numFmtId="0" fontId="14" fillId="0" borderId="0" xfId="49" applyFont="1" applyFill="1" applyAlignment="1">
      <alignment horizontal="center" wrapText="1"/>
    </xf>
    <xf numFmtId="0" fontId="15" fillId="0" borderId="13" xfId="49" applyFont="1" applyFill="1" applyBorder="1" applyAlignment="1">
      <alignment horizontal="center" wrapText="1"/>
    </xf>
    <xf numFmtId="0" fontId="9" fillId="0" borderId="0" xfId="49" applyFont="1" applyFill="1" applyAlignment="1">
      <alignment vertical="center" wrapText="1"/>
    </xf>
    <xf numFmtId="0" fontId="14" fillId="0" borderId="0" xfId="49" applyFont="1" applyFill="1" applyAlignment="1">
      <alignment horizontal="right" wrapText="1"/>
    </xf>
    <xf numFmtId="0" fontId="2" fillId="0" borderId="14" xfId="49" applyFont="1" applyFill="1" applyBorder="1" applyAlignment="1">
      <alignment horizontal="center" vertical="top" wrapText="1"/>
    </xf>
    <xf numFmtId="0" fontId="9" fillId="0" borderId="0" xfId="49" applyFont="1" applyFill="1" applyAlignment="1">
      <alignment horizontal="left" wrapText="1"/>
    </xf>
    <xf numFmtId="0" fontId="14" fillId="0" borderId="13" xfId="49" applyFont="1" applyFill="1" applyBorder="1" applyAlignment="1">
      <alignment wrapText="1"/>
    </xf>
    <xf numFmtId="0" fontId="15" fillId="0" borderId="0" xfId="49" applyFont="1" applyFill="1" applyBorder="1" applyAlignment="1">
      <alignment horizontal="center" wrapText="1"/>
    </xf>
    <xf numFmtId="0" fontId="11" fillId="0" borderId="0" xfId="49" applyFont="1" applyFill="1" applyAlignment="1">
      <alignment horizontal="center" vertical="center" wrapText="1"/>
    </xf>
    <xf numFmtId="0" fontId="14" fillId="0" borderId="0" xfId="49" applyFont="1" applyFill="1" applyAlignment="1">
      <alignment horizontal="left" wrapText="1"/>
    </xf>
    <xf numFmtId="0" fontId="11" fillId="0" borderId="0" xfId="49" applyFont="1" applyFill="1" applyAlignment="1">
      <alignment horizontal="right" vertical="top" wrapText="1"/>
    </xf>
    <xf numFmtId="0" fontId="11" fillId="0" borderId="0" xfId="49" applyFont="1" applyFill="1" applyAlignment="1">
      <alignment horizontal="right" vertical="center" wrapText="1"/>
    </xf>
    <xf numFmtId="0" fontId="16"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0" xfId="0" applyFont="1" applyFill="1" applyBorder="1" applyAlignment="1">
      <alignment horizontal="left" vertical="center"/>
    </xf>
    <xf numFmtId="0" fontId="17" fillId="0" borderId="0" xfId="0" applyFont="1" applyFill="1" applyBorder="1" applyAlignment="1">
      <alignment horizontal="center" vertical="center"/>
    </xf>
    <xf numFmtId="0" fontId="17" fillId="0" borderId="0" xfId="0" applyFont="1" applyFill="1" applyBorder="1" applyAlignment="1">
      <alignment horizontal="left" vertical="center"/>
    </xf>
    <xf numFmtId="0" fontId="17" fillId="0" borderId="0" xfId="0" applyFont="1" applyFill="1" applyBorder="1" applyAlignment="1">
      <alignment horizontal="left" vertical="center" wrapText="1"/>
    </xf>
    <xf numFmtId="0" fontId="18" fillId="0" borderId="0" xfId="0" applyFont="1" applyFill="1" applyBorder="1" applyAlignment="1"/>
    <xf numFmtId="0" fontId="11" fillId="4" borderId="0" xfId="49" applyFont="1" applyFill="1" applyAlignment="1">
      <alignment horizontal="left" vertical="center" wrapText="1"/>
    </xf>
    <xf numFmtId="0" fontId="12" fillId="4" borderId="13" xfId="49" applyFont="1" applyFill="1" applyBorder="1" applyAlignment="1">
      <alignment horizontal="center" wrapText="1"/>
    </xf>
    <xf numFmtId="0" fontId="12" fillId="4" borderId="0" xfId="49" applyFont="1" applyFill="1" applyAlignment="1">
      <alignment horizontal="left" wrapText="1"/>
    </xf>
    <xf numFmtId="0" fontId="13" fillId="4" borderId="0" xfId="49" applyFont="1" applyFill="1" applyAlignment="1">
      <alignment horizontal="center" wrapText="1"/>
    </xf>
    <xf numFmtId="0" fontId="13" fillId="4" borderId="0" xfId="49" applyFont="1" applyFill="1" applyAlignment="1">
      <alignment wrapText="1"/>
    </xf>
    <xf numFmtId="0" fontId="14" fillId="4" borderId="0" xfId="49" applyFont="1" applyFill="1" applyAlignment="1">
      <alignment horizontal="center" wrapText="1"/>
    </xf>
    <xf numFmtId="0" fontId="15" fillId="4" borderId="13" xfId="49" applyFont="1" applyFill="1" applyBorder="1" applyAlignment="1">
      <alignment horizontal="center" wrapText="1"/>
    </xf>
    <xf numFmtId="0" fontId="14" fillId="4" borderId="0" xfId="49" applyFont="1" applyFill="1" applyAlignment="1">
      <alignment horizontal="right" wrapText="1"/>
    </xf>
    <xf numFmtId="0" fontId="2" fillId="4" borderId="14" xfId="49" applyFont="1" applyFill="1" applyBorder="1" applyAlignment="1">
      <alignment horizontal="center" vertical="top" wrapText="1"/>
    </xf>
    <xf numFmtId="0" fontId="9" fillId="4" borderId="0" xfId="49" applyFont="1" applyFill="1" applyAlignment="1">
      <alignment horizontal="left" wrapText="1"/>
    </xf>
    <xf numFmtId="0" fontId="15" fillId="4" borderId="13" xfId="49" applyFont="1" applyFill="1" applyBorder="1" applyAlignment="1">
      <alignment wrapText="1"/>
    </xf>
    <xf numFmtId="0" fontId="15" fillId="4" borderId="0" xfId="49" applyFont="1" applyFill="1" applyBorder="1" applyAlignment="1">
      <alignment horizontal="left" wrapText="1"/>
    </xf>
    <xf numFmtId="0" fontId="2" fillId="4" borderId="0" xfId="49" applyFont="1" applyFill="1" applyBorder="1" applyAlignment="1">
      <alignment horizontal="center" vertical="top" wrapText="1"/>
    </xf>
    <xf numFmtId="0" fontId="11" fillId="4" borderId="0" xfId="49" applyFont="1" applyFill="1" applyAlignment="1">
      <alignment horizontal="center" vertical="center" wrapText="1"/>
    </xf>
    <xf numFmtId="0" fontId="9" fillId="4" borderId="0" xfId="49" applyFont="1" applyFill="1" applyAlignment="1">
      <alignment vertical="center" wrapText="1"/>
    </xf>
    <xf numFmtId="0" fontId="14" fillId="4" borderId="0" xfId="49" applyFont="1" applyFill="1" applyAlignment="1">
      <alignment horizontal="left" wrapText="1"/>
    </xf>
    <xf numFmtId="0" fontId="11" fillId="4" borderId="0" xfId="49" applyFont="1" applyFill="1" applyAlignment="1">
      <alignment horizontal="right" vertical="top" wrapText="1"/>
    </xf>
    <xf numFmtId="0" fontId="11" fillId="4" borderId="0" xfId="49" applyFont="1" applyFill="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25</xdr:col>
      <xdr:colOff>411480</xdr:colOff>
      <xdr:row>0</xdr:row>
      <xdr:rowOff>305435</xdr:rowOff>
    </xdr:from>
    <xdr:to>
      <xdr:col>42</xdr:col>
      <xdr:colOff>439420</xdr:colOff>
      <xdr:row>28</xdr:row>
      <xdr:rowOff>27305</xdr:rowOff>
    </xdr:to>
    <xdr:pic>
      <xdr:nvPicPr>
        <xdr:cNvPr id="3" name="图片 2"/>
        <xdr:cNvPicPr>
          <a:picLocks noChangeAspect="1"/>
        </xdr:cNvPicPr>
      </xdr:nvPicPr>
      <xdr:blipFill>
        <a:blip r:embed="rId1"/>
        <a:stretch>
          <a:fillRect/>
        </a:stretch>
      </xdr:blipFill>
      <xdr:spPr>
        <a:xfrm>
          <a:off x="20471130" y="305435"/>
          <a:ext cx="10229215" cy="8624570"/>
        </a:xfrm>
        <a:prstGeom prst="rect">
          <a:avLst/>
        </a:prstGeom>
        <a:noFill/>
        <a:ln w="9525">
          <a:noFill/>
        </a:ln>
      </xdr:spPr>
    </xdr:pic>
    <xdr:clientData/>
  </xdr:twoCellAnchor>
  <xdr:twoCellAnchor editAs="oneCell">
    <xdr:from>
      <xdr:col>12</xdr:col>
      <xdr:colOff>773430</xdr:colOff>
      <xdr:row>0</xdr:row>
      <xdr:rowOff>259715</xdr:rowOff>
    </xdr:from>
    <xdr:to>
      <xdr:col>22</xdr:col>
      <xdr:colOff>214630</xdr:colOff>
      <xdr:row>21</xdr:row>
      <xdr:rowOff>62865</xdr:rowOff>
    </xdr:to>
    <xdr:pic>
      <xdr:nvPicPr>
        <xdr:cNvPr id="2" name="图片 1"/>
        <xdr:cNvPicPr>
          <a:picLocks noChangeAspect="1"/>
        </xdr:cNvPicPr>
      </xdr:nvPicPr>
      <xdr:blipFill>
        <a:blip r:embed="rId2"/>
        <a:stretch>
          <a:fillRect/>
        </a:stretch>
      </xdr:blipFill>
      <xdr:spPr>
        <a:xfrm>
          <a:off x="12311380" y="259715"/>
          <a:ext cx="6162675" cy="763905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259080</xdr:colOff>
      <xdr:row>0</xdr:row>
      <xdr:rowOff>9525</xdr:rowOff>
    </xdr:from>
    <xdr:to>
      <xdr:col>26</xdr:col>
      <xdr:colOff>150495</xdr:colOff>
      <xdr:row>20</xdr:row>
      <xdr:rowOff>73025</xdr:rowOff>
    </xdr:to>
    <xdr:pic>
      <xdr:nvPicPr>
        <xdr:cNvPr id="2" name="图片 1"/>
        <xdr:cNvPicPr>
          <a:picLocks noChangeAspect="1"/>
        </xdr:cNvPicPr>
      </xdr:nvPicPr>
      <xdr:blipFill>
        <a:blip r:embed="rId1"/>
        <a:stretch>
          <a:fillRect/>
        </a:stretch>
      </xdr:blipFill>
      <xdr:spPr>
        <a:xfrm>
          <a:off x="10930890" y="9525"/>
          <a:ext cx="9879330" cy="744220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wangjunying\&#26700;&#38754;\&#38428;&#38451;&#24212;&#24613;&#28165;&#29702;&#27010;&#31639;\&#24314;&#35774;&#21333;&#20301;&#25552;&#20379;\&#24066;&#22330;&#24320;&#21457;&#37096;&#25991;&#26723;\Administrator\My%20Documents\Book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临时设施(益丰)"/>
      <sheetName val="棚料屋架"/>
      <sheetName val="脚手架"/>
      <sheetName val="租金"/>
      <sheetName val="XX小区"/>
      <sheetName val="益丰幼儿园G"/>
      <sheetName val="分析表"/>
      <sheetName val="SJK"/>
      <sheetName val="SJB"/>
      <sheetName val="帮助"/>
      <sheetName val="标准模块"/>
      <sheetName val="临设"/>
      <sheetName val="民工宿舍"/>
      <sheetName val="广医"/>
      <sheetName val="分析表 (4)"/>
      <sheetName val="分析表 (3)"/>
      <sheetName val="分析表 (2)"/>
      <sheetName val="分析表 (1)"/>
      <sheetName val="益丰小学"/>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Book1"/>
      <sheetName val="#REF"/>
      <sheetName val="Sheet1"/>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
  <sheetViews>
    <sheetView tabSelected="1" view="pageBreakPreview" zoomScaleNormal="100" workbookViewId="0">
      <selection activeCell="O4" sqref="O4"/>
    </sheetView>
  </sheetViews>
  <sheetFormatPr defaultColWidth="8.1047619047619" defaultRowHeight="12" outlineLevelCol="6"/>
  <cols>
    <col min="1" max="1" width="15.752380952381" style="69" customWidth="1"/>
    <col min="2" max="2" width="2.25714285714286" style="69" customWidth="1"/>
    <col min="3" max="3" width="19.5047619047619" style="69" customWidth="1"/>
    <col min="4" max="4" width="22.3714285714286" style="69" customWidth="1"/>
    <col min="5" max="5" width="38.5428571428571" style="69" customWidth="1"/>
    <col min="6" max="6" width="2.4" style="69" customWidth="1"/>
    <col min="7" max="7" width="10.3047619047619" style="69" customWidth="1"/>
    <col min="8" max="16384" width="8.1047619047619" style="69"/>
  </cols>
  <sheetData>
    <row r="1" s="69" customFormat="1" ht="127.5" customHeight="1" spans="1:7">
      <c r="A1" s="94"/>
      <c r="B1" s="94"/>
      <c r="C1" s="95" t="s">
        <v>0</v>
      </c>
      <c r="D1" s="95"/>
      <c r="E1" s="95"/>
      <c r="F1" s="95"/>
      <c r="G1" s="96"/>
    </row>
    <row r="2" s="69" customFormat="1" ht="60" customHeight="1" spans="1:7">
      <c r="A2" s="97" t="s">
        <v>1</v>
      </c>
      <c r="B2" s="97"/>
      <c r="C2" s="97"/>
      <c r="D2" s="97"/>
      <c r="E2" s="97"/>
      <c r="F2" s="97"/>
      <c r="G2" s="97"/>
    </row>
    <row r="3" s="69" customFormat="1" ht="75" customHeight="1" spans="1:7">
      <c r="A3" s="98"/>
      <c r="B3" s="99" t="s">
        <v>2</v>
      </c>
      <c r="C3" s="99"/>
      <c r="D3" s="100" t="s">
        <v>3</v>
      </c>
      <c r="E3" s="100"/>
      <c r="F3" s="98"/>
      <c r="G3" s="98"/>
    </row>
    <row r="4" s="69" customFormat="1" ht="65" customHeight="1" spans="1:7">
      <c r="A4" s="98"/>
      <c r="B4" s="101"/>
      <c r="C4" s="101"/>
      <c r="D4" s="102"/>
      <c r="E4" s="102"/>
      <c r="F4" s="98"/>
      <c r="G4" s="98"/>
    </row>
    <row r="5" s="69" customFormat="1" ht="60" customHeight="1" spans="1:7">
      <c r="A5" s="103"/>
      <c r="B5" s="99" t="s">
        <v>4</v>
      </c>
      <c r="C5" s="99"/>
      <c r="D5" s="104"/>
      <c r="E5" s="105" t="s">
        <v>5</v>
      </c>
      <c r="F5" s="103"/>
      <c r="G5" s="103"/>
    </row>
    <row r="6" s="69" customFormat="1" ht="36" customHeight="1" spans="1:7">
      <c r="A6" s="103"/>
      <c r="B6" s="101"/>
      <c r="C6" s="101"/>
      <c r="D6" s="102"/>
      <c r="E6" s="106"/>
      <c r="F6" s="103"/>
      <c r="G6" s="103"/>
    </row>
    <row r="7" s="69" customFormat="1" ht="60.75" customHeight="1" spans="1:7">
      <c r="A7" s="103"/>
      <c r="B7" s="99" t="s">
        <v>6</v>
      </c>
      <c r="C7" s="99"/>
      <c r="D7" s="104"/>
      <c r="E7" s="105" t="s">
        <v>7</v>
      </c>
      <c r="F7" s="103"/>
      <c r="G7" s="103"/>
    </row>
    <row r="8" s="69" customFormat="1" ht="36" customHeight="1" spans="1:7">
      <c r="A8" s="103"/>
      <c r="B8" s="107"/>
      <c r="C8" s="107"/>
      <c r="D8" s="102"/>
      <c r="E8" s="106"/>
      <c r="F8" s="107"/>
      <c r="G8" s="107"/>
    </row>
    <row r="9" s="69" customFormat="1" ht="69.75" customHeight="1" spans="1:7">
      <c r="A9" s="103"/>
      <c r="B9" s="108"/>
      <c r="C9" s="108"/>
      <c r="D9" s="99"/>
      <c r="E9" s="99"/>
      <c r="F9" s="103"/>
      <c r="G9" s="103"/>
    </row>
    <row r="10" s="69" customFormat="1" ht="18" customHeight="1" spans="1:7">
      <c r="A10" s="103"/>
      <c r="B10" s="108"/>
      <c r="C10" s="108"/>
      <c r="D10" s="109"/>
      <c r="E10" s="109"/>
      <c r="F10" s="110"/>
      <c r="G10" s="110"/>
    </row>
    <row r="11" s="69" customFormat="1" ht="18" customHeight="1" spans="1:7">
      <c r="A11" s="94"/>
      <c r="B11" s="94"/>
      <c r="C11" s="107"/>
      <c r="D11" s="107"/>
      <c r="E11" s="107"/>
      <c r="F11" s="107"/>
      <c r="G11" s="111"/>
    </row>
  </sheetData>
  <mergeCells count="24">
    <mergeCell ref="A1:B1"/>
    <mergeCell ref="C1:F1"/>
    <mergeCell ref="A2:G2"/>
    <mergeCell ref="B3:C3"/>
    <mergeCell ref="D3:E3"/>
    <mergeCell ref="B4:C4"/>
    <mergeCell ref="D4:E4"/>
    <mergeCell ref="B5:C5"/>
    <mergeCell ref="F5:G5"/>
    <mergeCell ref="B6:C6"/>
    <mergeCell ref="D6:E6"/>
    <mergeCell ref="F6:G6"/>
    <mergeCell ref="B7:C7"/>
    <mergeCell ref="F7:G7"/>
    <mergeCell ref="B8:C8"/>
    <mergeCell ref="D8:E8"/>
    <mergeCell ref="F8:G8"/>
    <mergeCell ref="B9:C9"/>
    <mergeCell ref="D9:E9"/>
    <mergeCell ref="F9:G9"/>
    <mergeCell ref="B10:C10"/>
    <mergeCell ref="F10:G10"/>
    <mergeCell ref="A11:B11"/>
    <mergeCell ref="C11:F11"/>
  </mergeCells>
  <pageMargins left="0.75" right="0.75" top="1" bottom="1" header="0.5" footer="0.5"/>
  <pageSetup paperSize="9" scale="8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N10" sqref="N10"/>
    </sheetView>
  </sheetViews>
  <sheetFormatPr defaultColWidth="8.23809523809524" defaultRowHeight="12.75"/>
  <cols>
    <col min="1" max="1" width="8.23809523809524" style="29"/>
    <col min="2" max="2" width="4.62857142857143" style="29" customWidth="1"/>
    <col min="3" max="3" width="10.7142857142857" style="29" customWidth="1"/>
    <col min="4" max="16384" width="8.23809523809524" style="29"/>
  </cols>
  <sheetData>
    <row r="1" s="29" customFormat="1" ht="22.5" spans="1:10">
      <c r="A1" s="87" t="s">
        <v>8</v>
      </c>
      <c r="B1" s="87"/>
      <c r="C1" s="87"/>
      <c r="D1" s="87"/>
      <c r="E1" s="87"/>
      <c r="F1" s="87"/>
      <c r="G1" s="87"/>
      <c r="H1" s="87"/>
      <c r="I1" s="87"/>
      <c r="J1" s="87"/>
    </row>
    <row r="2" s="29" customFormat="1" ht="18.75" spans="1:10">
      <c r="A2" s="88" t="s">
        <v>9</v>
      </c>
      <c r="B2" s="89" t="s">
        <v>10</v>
      </c>
      <c r="C2" s="89"/>
      <c r="D2" s="89"/>
      <c r="E2" s="89"/>
      <c r="F2" s="89"/>
      <c r="G2" s="89"/>
      <c r="H2" s="89"/>
      <c r="I2" s="89"/>
      <c r="J2" s="89"/>
    </row>
    <row r="3" s="29" customFormat="1" ht="52" customHeight="1" spans="1:10">
      <c r="A3" s="90"/>
      <c r="B3" s="91" t="s">
        <v>11</v>
      </c>
      <c r="C3" s="91" t="s">
        <v>12</v>
      </c>
      <c r="D3" s="92" t="s">
        <v>13</v>
      </c>
      <c r="E3" s="92"/>
      <c r="F3" s="92"/>
      <c r="G3" s="92"/>
      <c r="H3" s="92"/>
      <c r="I3" s="92"/>
      <c r="J3" s="92"/>
    </row>
    <row r="4" s="29" customFormat="1" ht="18.75" spans="1:10">
      <c r="A4" s="88" t="s">
        <v>14</v>
      </c>
      <c r="B4" s="89" t="s">
        <v>15</v>
      </c>
      <c r="C4" s="89"/>
      <c r="D4" s="89"/>
      <c r="E4" s="89"/>
      <c r="F4" s="89"/>
      <c r="G4" s="89"/>
      <c r="H4" s="89"/>
      <c r="I4" s="89"/>
      <c r="J4" s="89"/>
    </row>
    <row r="5" s="29" customFormat="1" ht="75" customHeight="1" spans="1:10">
      <c r="A5" s="90"/>
      <c r="B5" s="91" t="s">
        <v>11</v>
      </c>
      <c r="C5" s="92" t="s">
        <v>16</v>
      </c>
      <c r="D5" s="92"/>
      <c r="E5" s="92"/>
      <c r="F5" s="92"/>
      <c r="G5" s="92"/>
      <c r="H5" s="92"/>
      <c r="I5" s="92"/>
      <c r="J5" s="92"/>
    </row>
    <row r="6" s="29" customFormat="1" ht="43" customHeight="1" spans="1:10">
      <c r="A6" s="90"/>
      <c r="B6" s="91" t="s">
        <v>17</v>
      </c>
      <c r="C6" s="92"/>
      <c r="D6" s="92"/>
      <c r="E6" s="92"/>
      <c r="F6" s="92"/>
      <c r="G6" s="92"/>
      <c r="H6" s="92"/>
      <c r="I6" s="92"/>
      <c r="J6" s="92"/>
    </row>
    <row r="7" s="29" customFormat="1" ht="18.75" spans="1:10">
      <c r="A7" s="88" t="s">
        <v>18</v>
      </c>
      <c r="B7" s="89" t="s">
        <v>19</v>
      </c>
      <c r="C7" s="89"/>
      <c r="D7" s="89"/>
      <c r="E7" s="89"/>
      <c r="F7" s="89"/>
      <c r="G7" s="89"/>
      <c r="H7" s="89"/>
      <c r="I7" s="89"/>
      <c r="J7" s="89"/>
    </row>
    <row r="8" s="29" customFormat="1" ht="21" customHeight="1" spans="1:10">
      <c r="A8" s="90"/>
      <c r="B8" s="91" t="s">
        <v>11</v>
      </c>
      <c r="C8" s="92" t="s">
        <v>20</v>
      </c>
      <c r="D8" s="92"/>
      <c r="E8" s="92"/>
      <c r="F8" s="92"/>
      <c r="G8" s="92"/>
      <c r="H8" s="92"/>
      <c r="I8" s="92"/>
      <c r="J8" s="92"/>
    </row>
    <row r="9" s="29" customFormat="1" ht="65" customHeight="1" spans="1:10">
      <c r="A9" s="90"/>
      <c r="B9" s="91"/>
      <c r="C9" s="92"/>
      <c r="D9" s="92"/>
      <c r="E9" s="92"/>
      <c r="F9" s="92"/>
      <c r="G9" s="92"/>
      <c r="H9" s="92"/>
      <c r="I9" s="92"/>
      <c r="J9" s="92"/>
    </row>
    <row r="10" s="29" customFormat="1" spans="1:10">
      <c r="C10" s="93"/>
    </row>
  </sheetData>
  <mergeCells count="9">
    <mergeCell ref="A1:J1"/>
    <mergeCell ref="B2:J2"/>
    <mergeCell ref="D3:J3"/>
    <mergeCell ref="B4:J4"/>
    <mergeCell ref="C5:J5"/>
    <mergeCell ref="C6:J6"/>
    <mergeCell ref="B7:J7"/>
    <mergeCell ref="C8:J8"/>
    <mergeCell ref="C9:J9"/>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view="pageBreakPreview" zoomScaleNormal="100" workbookViewId="0">
      <selection activeCell="M7" sqref="L7:M7"/>
    </sheetView>
  </sheetViews>
  <sheetFormatPr defaultColWidth="9" defaultRowHeight="12" outlineLevelCol="7"/>
  <cols>
    <col min="1" max="1" width="9.71428571428571" style="69" customWidth="1"/>
    <col min="2" max="2" width="2.5047619047619" style="69" customWidth="1"/>
    <col min="3" max="3" width="21.6666666666667" style="69" customWidth="1"/>
    <col min="4" max="4" width="10.8285714285714" style="69" customWidth="1"/>
    <col min="5" max="5" width="33.3333333333333" style="69" customWidth="1"/>
    <col min="6" max="6" width="2.66666666666667" style="69" customWidth="1"/>
    <col min="7" max="7" width="29.2857142857143" style="69" customWidth="1"/>
    <col min="8" max="16384" width="9" style="69"/>
  </cols>
  <sheetData>
    <row r="1" ht="127.5" customHeight="1" spans="1:8">
      <c r="A1" s="70"/>
      <c r="B1" s="70"/>
      <c r="C1" s="71" t="s">
        <v>21</v>
      </c>
      <c r="D1" s="71"/>
      <c r="E1" s="71"/>
      <c r="F1" s="71"/>
      <c r="G1" s="72" t="s">
        <v>22</v>
      </c>
    </row>
    <row r="2" ht="60" customHeight="1" spans="1:8">
      <c r="A2" s="73" t="s">
        <v>1</v>
      </c>
      <c r="B2" s="73"/>
      <c r="C2" s="73"/>
      <c r="D2" s="73"/>
      <c r="E2" s="73"/>
      <c r="F2" s="73"/>
      <c r="G2" s="73"/>
    </row>
    <row r="3" ht="75" customHeight="1" spans="1:8">
      <c r="A3" s="74"/>
      <c r="B3" s="75" t="s">
        <v>23</v>
      </c>
      <c r="C3" s="75"/>
      <c r="D3" s="76" t="s">
        <v>24</v>
      </c>
      <c r="E3" s="76"/>
      <c r="F3" s="74"/>
      <c r="G3" s="77"/>
      <c r="H3" s="77"/>
    </row>
    <row r="4" ht="18" customHeight="1" spans="1:8">
      <c r="A4" s="74"/>
      <c r="B4" s="78"/>
      <c r="C4" s="78"/>
      <c r="D4" s="79"/>
      <c r="E4" s="79"/>
      <c r="F4" s="74"/>
      <c r="G4" s="77"/>
      <c r="H4" s="77"/>
    </row>
    <row r="5" ht="44" customHeight="1" spans="1:8">
      <c r="A5" s="80"/>
      <c r="B5" s="75" t="s">
        <v>4</v>
      </c>
      <c r="C5" s="75"/>
      <c r="D5" s="76"/>
      <c r="E5" s="76"/>
      <c r="F5" s="80" t="s">
        <v>25</v>
      </c>
      <c r="G5" s="81" t="s">
        <v>26</v>
      </c>
    </row>
    <row r="6" ht="60" customHeight="1" spans="1:8">
      <c r="A6" s="80"/>
      <c r="B6" s="75" t="s">
        <v>6</v>
      </c>
      <c r="C6" s="75"/>
      <c r="D6" s="82"/>
      <c r="E6" s="82"/>
      <c r="F6" s="80"/>
      <c r="G6" s="81" t="s">
        <v>26</v>
      </c>
    </row>
    <row r="7" ht="36" customHeight="1" spans="1:8">
      <c r="A7" s="80"/>
      <c r="B7" s="83"/>
      <c r="C7" s="83"/>
      <c r="D7" s="79"/>
      <c r="E7" s="79"/>
      <c r="F7" s="83"/>
      <c r="G7" s="83"/>
    </row>
    <row r="8" ht="69.75" customHeight="1" spans="1:8">
      <c r="A8" s="80"/>
      <c r="B8" s="77"/>
      <c r="C8" s="77"/>
      <c r="D8" s="75"/>
      <c r="E8" s="75"/>
      <c r="F8" s="80"/>
      <c r="G8" s="80"/>
    </row>
    <row r="9" ht="18" customHeight="1" spans="1:8">
      <c r="A9" s="80"/>
      <c r="B9" s="77"/>
      <c r="C9" s="77"/>
      <c r="D9" s="84"/>
      <c r="E9" s="84"/>
      <c r="F9" s="85"/>
      <c r="G9" s="85"/>
    </row>
    <row r="10" ht="18" customHeight="1" spans="1:8">
      <c r="A10" s="70"/>
      <c r="B10" s="70"/>
      <c r="C10" s="83"/>
      <c r="D10" s="83"/>
      <c r="E10" s="83"/>
      <c r="F10" s="83"/>
      <c r="G10" s="86" t="s">
        <v>27</v>
      </c>
    </row>
  </sheetData>
  <mergeCells count="22">
    <mergeCell ref="A1:B1"/>
    <mergeCell ref="C1:F1"/>
    <mergeCell ref="A2:G2"/>
    <mergeCell ref="B3:C3"/>
    <mergeCell ref="D3:E3"/>
    <mergeCell ref="G3:H3"/>
    <mergeCell ref="B4:C4"/>
    <mergeCell ref="D4:E4"/>
    <mergeCell ref="G4:H4"/>
    <mergeCell ref="B5:C5"/>
    <mergeCell ref="D5:E5"/>
    <mergeCell ref="B6:C6"/>
    <mergeCell ref="B7:C7"/>
    <mergeCell ref="D7:E7"/>
    <mergeCell ref="F7:G7"/>
    <mergeCell ref="B8:C8"/>
    <mergeCell ref="D8:E8"/>
    <mergeCell ref="F8:G8"/>
    <mergeCell ref="B9:C9"/>
    <mergeCell ref="F9:G9"/>
    <mergeCell ref="A10:B10"/>
    <mergeCell ref="C10:F10"/>
  </mergeCells>
  <printOptions horizontalCentered="1"/>
  <pageMargins left="0.116416666666667" right="0.116416666666667" top="0.59375" bottom="0" header="0.59375" footer="0"/>
  <pageSetup paperSize="9" scale="78"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
  <sheetViews>
    <sheetView view="pageBreakPreview" zoomScaleNormal="100" workbookViewId="0">
      <selection activeCell="C3" sqref="C3"/>
    </sheetView>
  </sheetViews>
  <sheetFormatPr defaultColWidth="9" defaultRowHeight="14.25" outlineLevelRow="4" outlineLevelCol="5"/>
  <cols>
    <col min="1" max="1" width="6.87619047619048" style="51" customWidth="1"/>
    <col min="2" max="2" width="19.7142857142857" style="51" customWidth="1"/>
    <col min="3" max="3" width="35" style="51" customWidth="1"/>
    <col min="4" max="4" width="36.8571428571429" style="51" customWidth="1"/>
    <col min="5" max="5" width="31.4285714285714" style="51" customWidth="1"/>
    <col min="6" max="6" width="20.7619047619048" style="51" customWidth="1"/>
    <col min="7" max="17" width="9" style="51"/>
    <col min="18" max="18" width="14.5619047619048" style="51"/>
    <col min="19" max="16384" width="9" style="51"/>
  </cols>
  <sheetData>
    <row r="1" s="51" customFormat="1" ht="54" customHeight="1" spans="1:6">
      <c r="A1" s="52" t="s">
        <v>28</v>
      </c>
      <c r="B1" s="52"/>
      <c r="C1" s="52"/>
      <c r="D1" s="53"/>
      <c r="E1" s="52"/>
      <c r="F1" s="52"/>
    </row>
    <row r="2" s="51" customFormat="1" ht="52" customHeight="1" spans="1:6">
      <c r="A2" s="54" t="s">
        <v>29</v>
      </c>
      <c r="B2" s="54" t="s">
        <v>30</v>
      </c>
      <c r="C2" s="54" t="s">
        <v>31</v>
      </c>
      <c r="D2" s="55" t="s">
        <v>32</v>
      </c>
      <c r="E2" s="56" t="s">
        <v>33</v>
      </c>
      <c r="F2" s="54" t="s">
        <v>34</v>
      </c>
    </row>
    <row r="3" s="51" customFormat="1" ht="52" customHeight="1" spans="1:6">
      <c r="A3" s="57">
        <v>1</v>
      </c>
      <c r="B3" s="57" t="s">
        <v>35</v>
      </c>
      <c r="C3" s="58">
        <f>'钢筋清单 '!I19</f>
        <v>2249686.74</v>
      </c>
      <c r="D3" s="58">
        <f>C3</f>
        <v>2249686.74</v>
      </c>
      <c r="E3" s="59"/>
      <c r="F3" s="59"/>
    </row>
    <row r="4" s="51" customFormat="1" ht="52" customHeight="1" spans="1:6">
      <c r="A4" s="60" t="s">
        <v>36</v>
      </c>
      <c r="B4" s="61"/>
      <c r="C4" s="62"/>
      <c r="D4" s="63" t="s">
        <v>37</v>
      </c>
      <c r="E4" s="64"/>
      <c r="F4" s="65"/>
    </row>
    <row r="5" s="51" customFormat="1" ht="52" customHeight="1" spans="1:6">
      <c r="A5" s="66"/>
      <c r="B5" s="67"/>
      <c r="C5" s="68"/>
      <c r="D5" s="63" t="s">
        <v>38</v>
      </c>
      <c r="E5" s="64"/>
      <c r="F5" s="65"/>
    </row>
  </sheetData>
  <mergeCells count="4">
    <mergeCell ref="A1:F1"/>
    <mergeCell ref="E4:F4"/>
    <mergeCell ref="E5:F5"/>
    <mergeCell ref="A4:C5"/>
  </mergeCells>
  <pageMargins left="0.75" right="0.75" top="1" bottom="1" header="0.5" footer="0.5"/>
  <pageSetup paperSize="9" scale="96"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showGridLines="0" view="pageBreakPreview" zoomScale="115" zoomScaleNormal="100" workbookViewId="0">
      <selection activeCell="A16" sqref="A16:J16"/>
    </sheetView>
  </sheetViews>
  <sheetFormatPr defaultColWidth="9" defaultRowHeight="12"/>
  <cols>
    <col min="1" max="1" width="8.14285714285714" style="1" customWidth="1"/>
    <col min="2" max="2" width="25.1142857142857" style="1" customWidth="1"/>
    <col min="3" max="3" width="12.4380952380952" style="1" customWidth="1"/>
    <col min="4" max="4" width="16.3809523809524" style="2" customWidth="1"/>
    <col min="5" max="5" width="13.8571428571429" style="3" customWidth="1"/>
    <col min="6" max="6" width="14.1428571428571" style="3" customWidth="1"/>
    <col min="7" max="7" width="12.1428571428571" style="3" customWidth="1"/>
    <col min="8" max="8" width="14.247619047619" style="1" customWidth="1"/>
    <col min="9" max="9" width="15.2857142857143" style="1" customWidth="1"/>
    <col min="10" max="10" width="15.3047619047619" style="1" customWidth="1"/>
    <col min="11" max="11" width="13" style="1"/>
    <col min="12" max="14" width="12.9904761904762" style="1"/>
    <col min="15" max="17" width="9" style="1"/>
    <col min="18" max="18" width="11.8285714285714" style="1"/>
    <col min="19" max="16384" width="9" style="1"/>
  </cols>
  <sheetData>
    <row r="1" ht="57" customHeight="1" spans="1:14">
      <c r="A1" s="4" t="s">
        <v>39</v>
      </c>
      <c r="B1" s="4"/>
      <c r="C1" s="4"/>
      <c r="D1" s="4"/>
      <c r="E1" s="4"/>
      <c r="F1" s="4"/>
      <c r="G1" s="4"/>
      <c r="H1" s="4"/>
      <c r="I1" s="4"/>
      <c r="J1" s="4"/>
    </row>
    <row r="2" ht="18" customHeight="1" spans="1:14">
      <c r="A2" s="5" t="s">
        <v>40</v>
      </c>
      <c r="B2" s="6"/>
      <c r="C2" s="6"/>
      <c r="D2" s="7"/>
      <c r="E2" s="8"/>
      <c r="F2" s="8"/>
      <c r="G2" s="8"/>
      <c r="H2" s="8"/>
      <c r="I2" s="8"/>
      <c r="J2" s="8"/>
      <c r="M2" s="9"/>
      <c r="N2" s="9"/>
    </row>
    <row r="3" ht="56" customHeight="1" spans="1:14">
      <c r="A3" s="10" t="s">
        <v>29</v>
      </c>
      <c r="B3" s="10" t="s">
        <v>41</v>
      </c>
      <c r="C3" s="10" t="s">
        <v>42</v>
      </c>
      <c r="D3" s="10" t="s">
        <v>43</v>
      </c>
      <c r="E3" s="11" t="s">
        <v>44</v>
      </c>
      <c r="F3" s="11" t="s">
        <v>45</v>
      </c>
      <c r="G3" s="11" t="s">
        <v>46</v>
      </c>
      <c r="H3" s="11" t="s">
        <v>47</v>
      </c>
      <c r="I3" s="11" t="s">
        <v>48</v>
      </c>
      <c r="J3" s="11" t="s">
        <v>34</v>
      </c>
      <c r="K3" s="12"/>
      <c r="L3" s="12"/>
      <c r="M3" s="9"/>
      <c r="N3" s="9"/>
    </row>
    <row r="4" ht="18" customHeight="1" spans="1:14">
      <c r="A4" s="13"/>
      <c r="B4" s="13"/>
      <c r="C4" s="13"/>
      <c r="D4" s="13"/>
      <c r="E4" s="14" t="s">
        <v>49</v>
      </c>
      <c r="F4" s="14" t="s">
        <v>50</v>
      </c>
      <c r="G4" s="14" t="s">
        <v>51</v>
      </c>
      <c r="H4" s="11" t="s">
        <v>52</v>
      </c>
      <c r="I4" s="11" t="s">
        <v>53</v>
      </c>
      <c r="J4" s="11"/>
      <c r="M4" s="9"/>
      <c r="N4" s="9"/>
    </row>
    <row r="5" ht="27" customHeight="1" spans="1:14">
      <c r="A5" s="11">
        <v>1</v>
      </c>
      <c r="B5" s="11" t="s">
        <v>54</v>
      </c>
      <c r="C5" s="18" t="s">
        <v>55</v>
      </c>
      <c r="D5" s="11" t="s">
        <v>56</v>
      </c>
      <c r="E5" s="15">
        <f>5.3308357+0.04/2+11.617/2+1.252/2+1.028/2+0.293/2+0.013/2</f>
        <v>12.4523357</v>
      </c>
      <c r="F5" s="16">
        <v>3810</v>
      </c>
      <c r="G5" s="16">
        <v>-10</v>
      </c>
      <c r="H5" s="16">
        <f>F5+G5</f>
        <v>3800</v>
      </c>
      <c r="I5" s="16">
        <f>E5*H5</f>
        <v>47318.87566</v>
      </c>
      <c r="J5" s="17"/>
    </row>
    <row r="6" ht="27" customHeight="1" spans="1:14">
      <c r="A6" s="11">
        <v>2</v>
      </c>
      <c r="B6" s="11" t="s">
        <v>54</v>
      </c>
      <c r="C6" s="18" t="s">
        <v>55</v>
      </c>
      <c r="D6" s="11" t="s">
        <v>57</v>
      </c>
      <c r="E6" s="15">
        <f>112.731+0.04/2+11.617/2+1.252/2+1.028/2+0.293/2+0.013/2</f>
        <v>119.8525</v>
      </c>
      <c r="F6" s="16">
        <v>3510</v>
      </c>
      <c r="G6" s="16">
        <v>-10</v>
      </c>
      <c r="H6" s="16">
        <f>F6+G6</f>
        <v>3500</v>
      </c>
      <c r="I6" s="16">
        <f>E6*H6</f>
        <v>419483.75</v>
      </c>
      <c r="J6" s="17"/>
    </row>
    <row r="7" ht="30" customHeight="1" spans="1:14">
      <c r="A7" s="11">
        <v>6</v>
      </c>
      <c r="B7" s="18" t="s">
        <v>58</v>
      </c>
      <c r="C7" s="18" t="s">
        <v>55</v>
      </c>
      <c r="D7" s="18" t="s">
        <v>59</v>
      </c>
      <c r="E7" s="19">
        <f>28.595+0.212/3+45.428/7+10.456/3+0.06/3+17.903/3+35.937/7+350.442/3+1.37/3</f>
        <v>167.032904761905</v>
      </c>
      <c r="F7" s="16">
        <v>3390</v>
      </c>
      <c r="G7" s="16">
        <v>-10</v>
      </c>
      <c r="H7" s="16">
        <f t="shared" ref="H7:H14" si="0">F7+G7</f>
        <v>3380</v>
      </c>
      <c r="I7" s="16">
        <f t="shared" ref="I7:I14" si="1">E7*H7</f>
        <v>564571.218095238</v>
      </c>
      <c r="J7" s="17"/>
    </row>
    <row r="8" ht="30" customHeight="1" spans="1:14">
      <c r="A8" s="11">
        <v>7</v>
      </c>
      <c r="B8" s="18" t="s">
        <v>58</v>
      </c>
      <c r="C8" s="18" t="s">
        <v>55</v>
      </c>
      <c r="D8" s="18" t="s">
        <v>60</v>
      </c>
      <c r="E8" s="19">
        <f>0.052/2+0.212/3+45.428/7+10.456/3+0.06/3+17.903/3+35.937/7+350.442/3+1.37/3</f>
        <v>138.463904761905</v>
      </c>
      <c r="F8" s="16">
        <v>3350</v>
      </c>
      <c r="G8" s="16">
        <v>-10</v>
      </c>
      <c r="H8" s="16">
        <f t="shared" si="0"/>
        <v>3340</v>
      </c>
      <c r="I8" s="16">
        <f t="shared" si="1"/>
        <v>462469.441904762</v>
      </c>
      <c r="J8" s="17"/>
    </row>
    <row r="9" ht="30" customHeight="1" spans="1:14">
      <c r="A9" s="11">
        <v>8</v>
      </c>
      <c r="B9" s="18" t="s">
        <v>58</v>
      </c>
      <c r="C9" s="18" t="s">
        <v>55</v>
      </c>
      <c r="D9" s="18" t="s">
        <v>61</v>
      </c>
      <c r="E9" s="19">
        <f>0.052/2+0.212/3+45.428/7+10.456/3+0.06/3+17.903/3+35.937/7+350.442/3+1.37/3</f>
        <v>138.463904761905</v>
      </c>
      <c r="F9" s="16">
        <v>3300</v>
      </c>
      <c r="G9" s="16">
        <v>-10</v>
      </c>
      <c r="H9" s="16">
        <f t="shared" si="0"/>
        <v>3290</v>
      </c>
      <c r="I9" s="16">
        <f t="shared" si="1"/>
        <v>455546.246666667</v>
      </c>
      <c r="J9" s="17"/>
    </row>
    <row r="10" ht="30" customHeight="1" spans="1:14">
      <c r="A10" s="11">
        <v>9</v>
      </c>
      <c r="B10" s="18" t="s">
        <v>58</v>
      </c>
      <c r="C10" s="18" t="s">
        <v>55</v>
      </c>
      <c r="D10" s="18" t="s">
        <v>62</v>
      </c>
      <c r="E10" s="19">
        <f>45.428/7+7.698/4+0.245/4+35.937/7+61.175/4+6.363/4</f>
        <v>30.4938214285714</v>
      </c>
      <c r="F10" s="50">
        <v>3230</v>
      </c>
      <c r="G10" s="16">
        <v>-10</v>
      </c>
      <c r="H10" s="16">
        <f t="shared" si="0"/>
        <v>3220</v>
      </c>
      <c r="I10" s="16">
        <f t="shared" si="1"/>
        <v>98190.105</v>
      </c>
      <c r="J10" s="17"/>
    </row>
    <row r="11" ht="30" customHeight="1" spans="1:14">
      <c r="A11" s="11">
        <v>10</v>
      </c>
      <c r="B11" s="18" t="s">
        <v>58</v>
      </c>
      <c r="C11" s="18" t="s">
        <v>55</v>
      </c>
      <c r="D11" s="18" t="s">
        <v>63</v>
      </c>
      <c r="E11" s="19">
        <f>45.428/7+7.698/4+0.245/4+35.937/7+61.175/4+6.363/4</f>
        <v>30.4938214285714</v>
      </c>
      <c r="F11" s="50">
        <v>3310</v>
      </c>
      <c r="G11" s="16">
        <v>-10</v>
      </c>
      <c r="H11" s="16">
        <f t="shared" si="0"/>
        <v>3300</v>
      </c>
      <c r="I11" s="16">
        <f t="shared" si="1"/>
        <v>100629.610714286</v>
      </c>
      <c r="J11" s="17"/>
    </row>
    <row r="12" ht="30" customHeight="1" spans="1:14">
      <c r="A12" s="11">
        <v>11</v>
      </c>
      <c r="B12" s="18" t="s">
        <v>58</v>
      </c>
      <c r="C12" s="18" t="s">
        <v>55</v>
      </c>
      <c r="D12" s="18" t="s">
        <v>64</v>
      </c>
      <c r="E12" s="19">
        <f>45.428/7+7.698/4+0.245/4+35.937/7+61.175/4+6.363/4</f>
        <v>30.4938214285714</v>
      </c>
      <c r="F12" s="50">
        <v>3310</v>
      </c>
      <c r="G12" s="16">
        <v>-10</v>
      </c>
      <c r="H12" s="16">
        <f t="shared" si="0"/>
        <v>3300</v>
      </c>
      <c r="I12" s="16">
        <f t="shared" si="1"/>
        <v>100629.610714286</v>
      </c>
      <c r="J12" s="17"/>
    </row>
    <row r="13" ht="30" customHeight="1" spans="1:14">
      <c r="A13" s="11">
        <v>12</v>
      </c>
      <c r="B13" s="18" t="s">
        <v>58</v>
      </c>
      <c r="C13" s="18" t="s">
        <v>55</v>
      </c>
      <c r="D13" s="18" t="s">
        <v>65</v>
      </c>
      <c r="E13" s="19">
        <f>45.428/7+7.698/4+0.245/4+35.937/7+61.175/4+6.363/4+0.009</f>
        <v>30.5028214285714</v>
      </c>
      <c r="F13" s="50">
        <v>3330</v>
      </c>
      <c r="G13" s="16">
        <v>-10</v>
      </c>
      <c r="H13" s="16">
        <f t="shared" si="0"/>
        <v>3320</v>
      </c>
      <c r="I13" s="16">
        <f t="shared" si="1"/>
        <v>101269.367142857</v>
      </c>
      <c r="J13" s="17"/>
    </row>
    <row r="14" ht="30" customHeight="1" spans="1:14">
      <c r="A14" s="11">
        <v>13</v>
      </c>
      <c r="B14" s="18" t="s">
        <v>58</v>
      </c>
      <c r="C14" s="18" t="s">
        <v>55</v>
      </c>
      <c r="D14" s="18" t="s">
        <v>66</v>
      </c>
      <c r="E14" s="19">
        <v>10</v>
      </c>
      <c r="F14" s="50">
        <v>3420</v>
      </c>
      <c r="G14" s="16">
        <v>-10</v>
      </c>
      <c r="H14" s="16">
        <f t="shared" si="0"/>
        <v>3410</v>
      </c>
      <c r="I14" s="16">
        <f t="shared" si="1"/>
        <v>34100</v>
      </c>
      <c r="J14" s="17"/>
    </row>
    <row r="15" ht="22" customHeight="1" spans="1:14">
      <c r="A15" s="11">
        <v>14</v>
      </c>
      <c r="B15" s="20" t="s">
        <v>67</v>
      </c>
      <c r="C15" s="20"/>
      <c r="D15" s="21"/>
      <c r="E15" s="15">
        <f>SUM(E5:E14)</f>
        <v>708.2498357</v>
      </c>
      <c r="F15" s="22"/>
      <c r="G15" s="22"/>
      <c r="H15" s="16"/>
      <c r="I15" s="16">
        <f>SUM(I5:I14)</f>
        <v>2384208.2258981</v>
      </c>
      <c r="J15" s="23"/>
    </row>
    <row r="16" ht="92" customHeight="1" spans="1:14">
      <c r="A16" s="24" t="s">
        <v>68</v>
      </c>
      <c r="B16" s="25"/>
      <c r="C16" s="25"/>
      <c r="D16" s="25"/>
      <c r="E16" s="25"/>
      <c r="F16" s="25"/>
      <c r="G16" s="25"/>
      <c r="H16" s="25"/>
      <c r="I16" s="25"/>
      <c r="J16" s="25"/>
      <c r="M16" s="1">
        <f>11667*(1-0.23)</f>
        <v>8983.59</v>
      </c>
    </row>
    <row r="18" spans="4:13">
      <c r="D18" s="26"/>
      <c r="L18" s="1">
        <f>11667*0.02</f>
        <v>233.34</v>
      </c>
      <c r="M18" s="1">
        <f>M16*0.88</f>
        <v>7905.5592</v>
      </c>
    </row>
    <row r="20" spans="4:13">
      <c r="I20" s="1">
        <v>228185.457333333</v>
      </c>
      <c r="J20" s="49">
        <f>I20/I15</f>
        <v>0.0957070170527488</v>
      </c>
    </row>
    <row r="34" spans="18:18">
      <c r="R34" s="1">
        <f>100000/200</f>
        <v>500</v>
      </c>
    </row>
  </sheetData>
  <mergeCells count="6">
    <mergeCell ref="A1:J1"/>
    <mergeCell ref="A16:J16"/>
    <mergeCell ref="A3:A4"/>
    <mergeCell ref="B3:B4"/>
    <mergeCell ref="C3:C4"/>
    <mergeCell ref="D3:D4"/>
  </mergeCells>
  <printOptions horizontalCentered="1"/>
  <pageMargins left="0.118055555555556" right="0.118055555555556" top="0.594444444444444" bottom="0" header="0.594444444444444" footer="0"/>
  <pageSetup paperSize="9" scale="66" orientation="portrait" horizontalDpi="600"/>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9"/>
  <sheetViews>
    <sheetView showGridLines="0" view="pageBreakPreview" zoomScale="115" zoomScaleNormal="100" topLeftCell="A5" workbookViewId="0">
      <selection activeCell="L15" sqref="L15"/>
    </sheetView>
  </sheetViews>
  <sheetFormatPr defaultColWidth="9" defaultRowHeight="12"/>
  <cols>
    <col min="1" max="1" width="5.95238095238095" style="1" customWidth="1"/>
    <col min="2" max="2" width="15.2761904761905" style="1" customWidth="1"/>
    <col min="3" max="3" width="12.4380952380952" style="1" customWidth="1"/>
    <col min="4" max="4" width="16.3809523809524" style="2" customWidth="1"/>
    <col min="5" max="5" width="13.8571428571429" style="3" customWidth="1"/>
    <col min="6" max="6" width="14.1428571428571" style="3" customWidth="1"/>
    <col min="7" max="7" width="12.1428571428571" style="3" customWidth="1"/>
    <col min="8" max="8" width="14.247619047619" style="1" customWidth="1"/>
    <col min="9" max="9" width="15.2857142857143" style="1" customWidth="1"/>
    <col min="10" max="10" width="11" style="1" customWidth="1"/>
    <col min="11" max="11" width="13" style="1"/>
    <col min="12" max="14" width="12.9904761904762" style="1"/>
    <col min="15" max="17" width="9" style="1"/>
    <col min="18" max="18" width="11.8285714285714" style="1"/>
    <col min="19" max="16384" width="9" style="1"/>
  </cols>
  <sheetData>
    <row r="1" ht="57" customHeight="1" spans="1:14">
      <c r="A1" s="4" t="s">
        <v>69</v>
      </c>
      <c r="B1" s="4"/>
      <c r="C1" s="4"/>
      <c r="D1" s="4"/>
      <c r="E1" s="4"/>
      <c r="F1" s="4"/>
      <c r="G1" s="4"/>
      <c r="H1" s="4"/>
      <c r="I1" s="4"/>
      <c r="J1" s="4"/>
    </row>
    <row r="2" ht="18" customHeight="1" spans="1:14">
      <c r="A2" s="5" t="s">
        <v>70</v>
      </c>
      <c r="B2" s="6"/>
      <c r="C2" s="6"/>
      <c r="D2" s="7"/>
      <c r="E2" s="8"/>
      <c r="F2" s="8"/>
      <c r="G2" s="8"/>
      <c r="H2" s="8"/>
      <c r="I2" s="8"/>
      <c r="J2" s="8"/>
      <c r="M2" s="9"/>
      <c r="N2" s="9"/>
    </row>
    <row r="3" ht="30" customHeight="1" spans="1:14">
      <c r="A3" s="10" t="s">
        <v>29</v>
      </c>
      <c r="B3" s="10" t="s">
        <v>41</v>
      </c>
      <c r="C3" s="10" t="s">
        <v>42</v>
      </c>
      <c r="D3" s="10" t="s">
        <v>43</v>
      </c>
      <c r="E3" s="11" t="s">
        <v>71</v>
      </c>
      <c r="F3" s="11" t="s">
        <v>45</v>
      </c>
      <c r="G3" s="11" t="s">
        <v>46</v>
      </c>
      <c r="H3" s="11" t="s">
        <v>47</v>
      </c>
      <c r="I3" s="11" t="s">
        <v>48</v>
      </c>
      <c r="J3" s="11" t="s">
        <v>34</v>
      </c>
      <c r="K3" s="12"/>
      <c r="L3" s="12"/>
      <c r="M3" s="9"/>
      <c r="N3" s="9"/>
    </row>
    <row r="4" ht="18" customHeight="1" spans="1:14">
      <c r="A4" s="13"/>
      <c r="B4" s="13"/>
      <c r="C4" s="13"/>
      <c r="D4" s="13"/>
      <c r="E4" s="14" t="s">
        <v>49</v>
      </c>
      <c r="F4" s="14" t="s">
        <v>50</v>
      </c>
      <c r="G4" s="14" t="s">
        <v>51</v>
      </c>
      <c r="H4" s="11" t="s">
        <v>52</v>
      </c>
      <c r="I4" s="11" t="s">
        <v>53</v>
      </c>
      <c r="J4" s="11"/>
      <c r="M4" s="9"/>
      <c r="N4" s="9"/>
    </row>
    <row r="5" ht="27" customHeight="1" spans="1:14">
      <c r="A5" s="11">
        <v>1</v>
      </c>
      <c r="B5" s="11" t="s">
        <v>72</v>
      </c>
      <c r="C5" s="18" t="s">
        <v>55</v>
      </c>
      <c r="D5" s="11" t="s">
        <v>73</v>
      </c>
      <c r="E5" s="15">
        <f>5.1+0.903+2.22</f>
        <v>8.223</v>
      </c>
      <c r="F5" s="16">
        <v>3890</v>
      </c>
      <c r="G5" s="16">
        <v>-10</v>
      </c>
      <c r="H5" s="16">
        <f t="shared" ref="H5:H9" si="0">F5+G5</f>
        <v>3880</v>
      </c>
      <c r="I5" s="16">
        <f t="shared" ref="I5:I9" si="1">E5*H5</f>
        <v>31905.24</v>
      </c>
      <c r="J5" s="17"/>
    </row>
    <row r="6" ht="27" customHeight="1" spans="1:14">
      <c r="A6" s="11">
        <v>2</v>
      </c>
      <c r="B6" s="11" t="s">
        <v>72</v>
      </c>
      <c r="C6" s="18" t="s">
        <v>55</v>
      </c>
      <c r="D6" s="11" t="s">
        <v>74</v>
      </c>
      <c r="E6" s="15">
        <f>13.377-5.1+0.903+0.2</f>
        <v>9.38</v>
      </c>
      <c r="F6" s="16">
        <v>3590</v>
      </c>
      <c r="G6" s="16">
        <v>-10</v>
      </c>
      <c r="H6" s="16">
        <f t="shared" si="0"/>
        <v>3580</v>
      </c>
      <c r="I6" s="16">
        <f t="shared" si="1"/>
        <v>33580.4</v>
      </c>
      <c r="J6" s="17"/>
    </row>
    <row r="7" ht="27" customHeight="1" spans="1:14">
      <c r="A7" s="11">
        <v>3</v>
      </c>
      <c r="B7" s="11" t="s">
        <v>72</v>
      </c>
      <c r="C7" s="18" t="s">
        <v>55</v>
      </c>
      <c r="D7" s="11" t="s">
        <v>59</v>
      </c>
      <c r="E7" s="15">
        <f>0.332</f>
        <v>0.332</v>
      </c>
      <c r="F7" s="16">
        <v>3640</v>
      </c>
      <c r="G7" s="16">
        <v>-10</v>
      </c>
      <c r="H7" s="16">
        <f t="shared" si="0"/>
        <v>3630</v>
      </c>
      <c r="I7" s="16">
        <f t="shared" si="1"/>
        <v>1205.16</v>
      </c>
      <c r="J7" s="17"/>
    </row>
    <row r="8" ht="27" customHeight="1" spans="1:14">
      <c r="A8" s="11">
        <v>4</v>
      </c>
      <c r="B8" s="11" t="s">
        <v>72</v>
      </c>
      <c r="C8" s="18" t="s">
        <v>55</v>
      </c>
      <c r="D8" s="11" t="s">
        <v>75</v>
      </c>
      <c r="E8" s="15">
        <f>0.331+0.579</f>
        <v>0.91</v>
      </c>
      <c r="F8" s="16">
        <v>3690</v>
      </c>
      <c r="G8" s="16">
        <v>-10</v>
      </c>
      <c r="H8" s="16">
        <f t="shared" si="0"/>
        <v>3680</v>
      </c>
      <c r="I8" s="16">
        <f t="shared" si="1"/>
        <v>3348.8</v>
      </c>
      <c r="J8" s="17"/>
    </row>
    <row r="9" ht="30" customHeight="1" spans="1:14">
      <c r="A9" s="11">
        <v>5</v>
      </c>
      <c r="B9" s="18" t="s">
        <v>58</v>
      </c>
      <c r="C9" s="18" t="s">
        <v>55</v>
      </c>
      <c r="D9" s="18" t="s">
        <v>76</v>
      </c>
      <c r="E9" s="19">
        <f>125.49+31.559</f>
        <v>157.049</v>
      </c>
      <c r="F9" s="16">
        <v>3610</v>
      </c>
      <c r="G9" s="16">
        <v>-10</v>
      </c>
      <c r="H9" s="16">
        <f t="shared" si="0"/>
        <v>3600</v>
      </c>
      <c r="I9" s="16">
        <f t="shared" si="1"/>
        <v>565376.4</v>
      </c>
      <c r="J9" s="17"/>
    </row>
    <row r="10" ht="30" customHeight="1" spans="1:14">
      <c r="A10" s="11">
        <v>6</v>
      </c>
      <c r="B10" s="18" t="s">
        <v>58</v>
      </c>
      <c r="C10" s="18" t="s">
        <v>55</v>
      </c>
      <c r="D10" s="18" t="s">
        <v>59</v>
      </c>
      <c r="E10" s="19">
        <f>119.4/3+12.914+22.8</f>
        <v>75.514</v>
      </c>
      <c r="F10" s="16">
        <v>3500</v>
      </c>
      <c r="G10" s="16">
        <v>-10</v>
      </c>
      <c r="H10" s="16">
        <f t="shared" ref="H10:H18" si="2">F10+G10</f>
        <v>3490</v>
      </c>
      <c r="I10" s="16">
        <f t="shared" ref="I10:I18" si="3">E10*H10</f>
        <v>263543.86</v>
      </c>
      <c r="J10" s="17"/>
    </row>
    <row r="11" ht="30" customHeight="1" spans="1:14">
      <c r="A11" s="11">
        <v>7</v>
      </c>
      <c r="B11" s="18" t="s">
        <v>58</v>
      </c>
      <c r="C11" s="18" t="s">
        <v>55</v>
      </c>
      <c r="D11" s="18" t="s">
        <v>60</v>
      </c>
      <c r="E11" s="19">
        <f>39.8+12.914+0.3</f>
        <v>53.014</v>
      </c>
      <c r="F11" s="16">
        <v>3450</v>
      </c>
      <c r="G11" s="16">
        <v>-10</v>
      </c>
      <c r="H11" s="16">
        <f t="shared" si="2"/>
        <v>3440</v>
      </c>
      <c r="I11" s="16">
        <f t="shared" si="3"/>
        <v>182368.16</v>
      </c>
      <c r="J11" s="17"/>
    </row>
    <row r="12" ht="30" customHeight="1" spans="1:14">
      <c r="A12" s="11">
        <v>8</v>
      </c>
      <c r="B12" s="18" t="s">
        <v>58</v>
      </c>
      <c r="C12" s="18" t="s">
        <v>55</v>
      </c>
      <c r="D12" s="18" t="s">
        <v>61</v>
      </c>
      <c r="E12" s="19">
        <f>39.8+12.914+34.22</f>
        <v>86.934</v>
      </c>
      <c r="F12" s="16">
        <v>3430</v>
      </c>
      <c r="G12" s="16">
        <v>-10</v>
      </c>
      <c r="H12" s="16">
        <f t="shared" si="2"/>
        <v>3420</v>
      </c>
      <c r="I12" s="16">
        <f t="shared" si="3"/>
        <v>297314.28</v>
      </c>
      <c r="J12" s="17"/>
    </row>
    <row r="13" ht="30" customHeight="1" spans="1:14">
      <c r="A13" s="11">
        <v>9</v>
      </c>
      <c r="B13" s="18" t="s">
        <v>58</v>
      </c>
      <c r="C13" s="18" t="s">
        <v>55</v>
      </c>
      <c r="D13" s="18" t="s">
        <v>62</v>
      </c>
      <c r="E13" s="19">
        <f>ROUND(67.887/4,3)+6.463+0.3</f>
        <v>23.735</v>
      </c>
      <c r="F13" s="16">
        <v>3310</v>
      </c>
      <c r="G13" s="16">
        <v>-10</v>
      </c>
      <c r="H13" s="16">
        <f t="shared" si="2"/>
        <v>3300</v>
      </c>
      <c r="I13" s="16">
        <f t="shared" si="3"/>
        <v>78325.5</v>
      </c>
      <c r="J13" s="17"/>
    </row>
    <row r="14" ht="30" customHeight="1" spans="1:14">
      <c r="A14" s="11">
        <v>10</v>
      </c>
      <c r="B14" s="18" t="s">
        <v>58</v>
      </c>
      <c r="C14" s="18" t="s">
        <v>55</v>
      </c>
      <c r="D14" s="18" t="s">
        <v>63</v>
      </c>
      <c r="E14" s="19">
        <f>ROUND(67.887/4,3)+6.463+19.05</f>
        <v>42.485</v>
      </c>
      <c r="F14" s="16">
        <v>3410</v>
      </c>
      <c r="G14" s="16">
        <v>-10</v>
      </c>
      <c r="H14" s="16">
        <f t="shared" si="2"/>
        <v>3400</v>
      </c>
      <c r="I14" s="16">
        <f t="shared" si="3"/>
        <v>144449</v>
      </c>
      <c r="J14" s="17"/>
    </row>
    <row r="15" ht="30" customHeight="1" spans="1:14">
      <c r="A15" s="11">
        <v>11</v>
      </c>
      <c r="B15" s="18" t="s">
        <v>58</v>
      </c>
      <c r="C15" s="18" t="s">
        <v>55</v>
      </c>
      <c r="D15" s="18" t="s">
        <v>64</v>
      </c>
      <c r="E15" s="19">
        <f>ROUND(67.887/4,3)+6.463+0.3</f>
        <v>23.735</v>
      </c>
      <c r="F15" s="16">
        <v>3410</v>
      </c>
      <c r="G15" s="16">
        <v>-10</v>
      </c>
      <c r="H15" s="16">
        <f t="shared" si="2"/>
        <v>3400</v>
      </c>
      <c r="I15" s="16">
        <f t="shared" si="3"/>
        <v>80699</v>
      </c>
      <c r="J15" s="17"/>
    </row>
    <row r="16" ht="30" customHeight="1" spans="1:14">
      <c r="A16" s="11">
        <v>12</v>
      </c>
      <c r="B16" s="18" t="s">
        <v>58</v>
      </c>
      <c r="C16" s="18" t="s">
        <v>55</v>
      </c>
      <c r="D16" s="18" t="s">
        <v>65</v>
      </c>
      <c r="E16" s="19">
        <f>ROUND(67.887/4,3)+1.752+6.463+12.59</f>
        <v>37.777</v>
      </c>
      <c r="F16" s="16">
        <v>3430</v>
      </c>
      <c r="G16" s="16">
        <v>-10</v>
      </c>
      <c r="H16" s="16">
        <f t="shared" si="2"/>
        <v>3420</v>
      </c>
      <c r="I16" s="16">
        <f t="shared" si="3"/>
        <v>129197.34</v>
      </c>
      <c r="J16" s="17"/>
    </row>
    <row r="17" ht="30" customHeight="1" spans="1:10">
      <c r="A17" s="11">
        <v>13</v>
      </c>
      <c r="B17" s="18" t="s">
        <v>58</v>
      </c>
      <c r="C17" s="18" t="s">
        <v>55</v>
      </c>
      <c r="D17" s="18" t="s">
        <v>66</v>
      </c>
      <c r="E17" s="19">
        <f>1.05+123.08+0.2</f>
        <v>124.33</v>
      </c>
      <c r="F17" s="16">
        <v>3530</v>
      </c>
      <c r="G17" s="16">
        <v>-10</v>
      </c>
      <c r="H17" s="16">
        <f t="shared" si="2"/>
        <v>3520</v>
      </c>
      <c r="I17" s="16">
        <f t="shared" si="3"/>
        <v>437641.6</v>
      </c>
      <c r="J17" s="17"/>
    </row>
    <row r="18" ht="30" customHeight="1" spans="1:10">
      <c r="A18" s="11">
        <v>14</v>
      </c>
      <c r="B18" s="18" t="s">
        <v>58</v>
      </c>
      <c r="C18" s="18" t="s">
        <v>55</v>
      </c>
      <c r="D18" s="18" t="s">
        <v>77</v>
      </c>
      <c r="E18" s="42">
        <v>0.2</v>
      </c>
      <c r="F18" s="16">
        <v>3670</v>
      </c>
      <c r="G18" s="16">
        <v>-10</v>
      </c>
      <c r="H18" s="16">
        <f t="shared" si="2"/>
        <v>3660</v>
      </c>
      <c r="I18" s="16">
        <f t="shared" si="3"/>
        <v>732</v>
      </c>
      <c r="J18" s="17"/>
    </row>
    <row r="19" ht="30" customHeight="1" spans="1:10">
      <c r="A19" s="11">
        <v>15</v>
      </c>
      <c r="B19" s="20" t="s">
        <v>78</v>
      </c>
      <c r="C19" s="20"/>
      <c r="D19" s="21"/>
      <c r="E19" s="43">
        <f>SUM(E5:E17)</f>
        <v>643.418</v>
      </c>
      <c r="F19" s="22"/>
      <c r="G19" s="22"/>
      <c r="H19" s="16"/>
      <c r="I19" s="16">
        <f>SUM(I5:I18)</f>
        <v>2249686.74</v>
      </c>
      <c r="J19" s="44"/>
    </row>
    <row r="20" ht="30" customHeight="1" spans="1:10">
      <c r="A20" s="11">
        <v>16</v>
      </c>
      <c r="B20" s="20" t="s">
        <v>79</v>
      </c>
      <c r="C20" s="20"/>
      <c r="D20" s="21"/>
      <c r="E20" s="45"/>
      <c r="F20" s="22"/>
      <c r="G20" s="22"/>
      <c r="H20" s="16"/>
      <c r="I20" s="16">
        <f>I21*0.13</f>
        <v>258813.518761062</v>
      </c>
      <c r="J20" s="44"/>
    </row>
    <row r="21" ht="30" customHeight="1" spans="1:10">
      <c r="A21" s="11">
        <v>17</v>
      </c>
      <c r="B21" s="20" t="s">
        <v>80</v>
      </c>
      <c r="C21" s="20"/>
      <c r="D21" s="21"/>
      <c r="E21" s="46"/>
      <c r="F21" s="22"/>
      <c r="G21" s="22"/>
      <c r="H21" s="16"/>
      <c r="I21" s="16">
        <f>I19/1.13</f>
        <v>1990873.22123894</v>
      </c>
      <c r="J21" s="44"/>
    </row>
    <row r="22" ht="105" customHeight="1" spans="1:10">
      <c r="A22" s="47" t="s">
        <v>81</v>
      </c>
      <c r="B22" s="48"/>
      <c r="C22" s="48"/>
      <c r="D22" s="48"/>
      <c r="E22" s="48"/>
      <c r="F22" s="48"/>
      <c r="G22" s="48"/>
      <c r="H22" s="48"/>
      <c r="I22" s="48"/>
      <c r="J22" s="48"/>
    </row>
    <row r="23" spans="1:10">
      <c r="D23" s="26"/>
    </row>
    <row r="25" spans="1:10">
      <c r="J25" s="49"/>
    </row>
    <row r="39" spans="18:18">
      <c r="R39" s="1">
        <f>100000/200</f>
        <v>500</v>
      </c>
    </row>
  </sheetData>
  <mergeCells count="7">
    <mergeCell ref="A1:J1"/>
    <mergeCell ref="A22:J22"/>
    <mergeCell ref="A3:A4"/>
    <mergeCell ref="B3:B4"/>
    <mergeCell ref="C3:C4"/>
    <mergeCell ref="D3:D4"/>
    <mergeCell ref="E19:E21"/>
  </mergeCells>
  <printOptions horizontalCentered="1"/>
  <pageMargins left="0.118055555555556" right="0.118055555555556" top="0.59375" bottom="0" header="0.59375" footer="0"/>
  <pageSetup paperSize="9" scale="86" fitToHeight="0"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B24"/>
  <sheetViews>
    <sheetView zoomScale="175" zoomScaleNormal="175" zoomScaleSheetLayoutView="60" workbookViewId="0">
      <selection activeCell="G27" sqref="G27"/>
    </sheetView>
  </sheetViews>
  <sheetFormatPr defaultColWidth="9.14285714285714" defaultRowHeight="12.75"/>
  <cols>
    <col min="1" max="1" width="4.71428571428571" style="29" customWidth="1"/>
    <col min="2" max="2" width="12.8571428571429" style="29" customWidth="1"/>
    <col min="3" max="3" width="5.71428571428571" style="29" customWidth="1"/>
    <col min="4" max="4" width="20" style="29" customWidth="1"/>
    <col min="5" max="5" width="13.5619047619048" style="29" customWidth="1"/>
    <col min="6" max="6" width="6.43809523809524" style="29" customWidth="1"/>
    <col min="7" max="7" width="11.4380952380952" style="29" customWidth="1"/>
    <col min="8" max="8" width="12.8571428571429" style="29" customWidth="1"/>
    <col min="9" max="9" width="14.5619047619048" style="29" customWidth="1"/>
    <col min="10" max="11" width="11.4380952380952" style="29" customWidth="1"/>
    <col min="12" max="12" width="16.7142857142857" style="29" customWidth="1"/>
    <col min="13" max="13" width="15.2857142857143" style="29" customWidth="1"/>
    <col min="14" max="14" width="11.4380952380952" style="29" customWidth="1"/>
    <col min="15" max="15" width="12.8571428571429" style="29" customWidth="1"/>
    <col min="16" max="17" width="9.28571428571429" style="29" customWidth="1"/>
    <col min="18" max="18" width="9.85714285714286" style="29" customWidth="1"/>
    <col min="19" max="19" width="9.28571428571429" style="29" customWidth="1"/>
    <col min="20" max="20" width="10.1428571428571" style="29" customWidth="1"/>
    <col min="21" max="21" width="12.1428571428571" style="29" customWidth="1"/>
    <col min="22" max="23" width="9.28571428571429" style="29" customWidth="1"/>
    <col min="24" max="27" width="12.1428571428571" style="29" customWidth="1"/>
    <col min="28" max="28" width="11.4380952380952" style="29" customWidth="1"/>
    <col min="29" max="16384" width="9.14285714285714" style="29"/>
  </cols>
  <sheetData>
    <row r="1" ht="22.5" customHeight="1" spans="1:28">
      <c r="B1" s="30" t="s">
        <v>82</v>
      </c>
      <c r="C1" s="30" t="s">
        <v>83</v>
      </c>
      <c r="D1" s="30" t="s">
        <v>41</v>
      </c>
      <c r="E1" s="30" t="s">
        <v>84</v>
      </c>
      <c r="F1" s="30" t="s">
        <v>85</v>
      </c>
      <c r="G1" s="30" t="s">
        <v>86</v>
      </c>
      <c r="H1" s="30" t="s">
        <v>87</v>
      </c>
      <c r="I1" s="30" t="s">
        <v>88</v>
      </c>
      <c r="J1" s="30" t="s">
        <v>89</v>
      </c>
      <c r="K1" s="30" t="s">
        <v>90</v>
      </c>
      <c r="L1" s="30" t="s">
        <v>91</v>
      </c>
      <c r="M1" s="30" t="s">
        <v>92</v>
      </c>
      <c r="N1" s="30" t="s">
        <v>93</v>
      </c>
      <c r="O1" s="30" t="s">
        <v>94</v>
      </c>
      <c r="P1" s="30" t="s">
        <v>95</v>
      </c>
      <c r="Q1" s="30" t="s">
        <v>96</v>
      </c>
      <c r="R1" s="30" t="s">
        <v>97</v>
      </c>
      <c r="S1" s="30" t="s">
        <v>98</v>
      </c>
      <c r="T1" s="30" t="s">
        <v>99</v>
      </c>
      <c r="U1" s="30" t="s">
        <v>100</v>
      </c>
      <c r="V1" s="30" t="s">
        <v>101</v>
      </c>
      <c r="W1" s="30" t="s">
        <v>102</v>
      </c>
      <c r="X1" s="30" t="s">
        <v>103</v>
      </c>
      <c r="Y1" s="30" t="s">
        <v>104</v>
      </c>
      <c r="Z1" s="30" t="s">
        <v>105</v>
      </c>
      <c r="AA1" s="30" t="s">
        <v>106</v>
      </c>
      <c r="AB1" s="30" t="s">
        <v>34</v>
      </c>
    </row>
    <row r="2" ht="16.5" customHeight="1" spans="1:28">
      <c r="A2" s="37" t="s">
        <v>107</v>
      </c>
      <c r="B2" s="38" t="s">
        <v>108</v>
      </c>
      <c r="C2" s="39" t="s">
        <v>109</v>
      </c>
      <c r="D2" s="38" t="s">
        <v>110</v>
      </c>
      <c r="E2" s="38" t="s">
        <v>111</v>
      </c>
      <c r="F2" s="39" t="s">
        <v>112</v>
      </c>
      <c r="G2" s="34">
        <v>112.731</v>
      </c>
      <c r="H2" s="38">
        <v>3560.45</v>
      </c>
      <c r="I2" s="40">
        <v>3142.86</v>
      </c>
      <c r="J2" s="38">
        <v>3662.06</v>
      </c>
      <c r="K2" s="38">
        <v>16.52</v>
      </c>
      <c r="L2" s="38">
        <v>354299.01</v>
      </c>
      <c r="M2" s="38">
        <v>412829.15</v>
      </c>
      <c r="N2" s="38">
        <v>-417.59</v>
      </c>
      <c r="O2" s="38">
        <v>-47075.49</v>
      </c>
      <c r="P2" s="39" t="s">
        <v>113</v>
      </c>
      <c r="Q2" s="38" t="s">
        <v>114</v>
      </c>
      <c r="R2" s="38" t="s">
        <v>114</v>
      </c>
      <c r="S2" s="38" t="b">
        <v>0</v>
      </c>
      <c r="T2" s="38" t="b">
        <v>1</v>
      </c>
      <c r="U2" s="38" t="s">
        <v>114</v>
      </c>
      <c r="V2" s="38" t="b">
        <v>0</v>
      </c>
      <c r="W2" s="38" t="b">
        <v>1</v>
      </c>
      <c r="X2" s="38" t="s">
        <v>114</v>
      </c>
      <c r="Y2" s="38" t="s">
        <v>114</v>
      </c>
      <c r="Z2" s="38" t="s">
        <v>114</v>
      </c>
      <c r="AA2" s="38" t="s">
        <v>114</v>
      </c>
      <c r="AB2" s="38" t="s">
        <v>114</v>
      </c>
    </row>
    <row r="3" ht="16.5" customHeight="1" spans="1:28">
      <c r="A3" s="37" t="s">
        <v>115</v>
      </c>
      <c r="B3" s="38" t="s">
        <v>108</v>
      </c>
      <c r="C3" s="39" t="s">
        <v>109</v>
      </c>
      <c r="D3" s="38" t="s">
        <v>110</v>
      </c>
      <c r="E3" s="38" t="s">
        <v>116</v>
      </c>
      <c r="F3" s="39" t="s">
        <v>112</v>
      </c>
      <c r="G3" s="34">
        <v>0.052</v>
      </c>
      <c r="H3" s="38">
        <v>3560.45</v>
      </c>
      <c r="I3" s="40">
        <v>3142.86</v>
      </c>
      <c r="J3" s="38">
        <v>3662.06</v>
      </c>
      <c r="K3" s="38">
        <v>16.52</v>
      </c>
      <c r="L3" s="38">
        <v>161.86</v>
      </c>
      <c r="M3" s="38">
        <v>188.6</v>
      </c>
      <c r="N3" s="38">
        <v>-417.59</v>
      </c>
      <c r="O3" s="38">
        <v>-21.51</v>
      </c>
      <c r="P3" s="39" t="s">
        <v>113</v>
      </c>
      <c r="Q3" s="38" t="s">
        <v>114</v>
      </c>
      <c r="R3" s="38" t="s">
        <v>114</v>
      </c>
      <c r="S3" s="38" t="b">
        <v>0</v>
      </c>
      <c r="T3" s="38" t="b">
        <v>1</v>
      </c>
      <c r="U3" s="38" t="s">
        <v>117</v>
      </c>
      <c r="V3" s="38" t="b">
        <v>0</v>
      </c>
      <c r="W3" s="38" t="b">
        <v>1</v>
      </c>
      <c r="X3" s="38" t="s">
        <v>114</v>
      </c>
      <c r="Y3" s="38" t="s">
        <v>114</v>
      </c>
      <c r="Z3" s="38" t="s">
        <v>114</v>
      </c>
      <c r="AA3" s="38" t="s">
        <v>114</v>
      </c>
      <c r="AB3" s="38" t="s">
        <v>114</v>
      </c>
    </row>
    <row r="4" ht="16.5" customHeight="1" spans="1:28">
      <c r="A4" s="37" t="s">
        <v>118</v>
      </c>
      <c r="B4" s="38" t="s">
        <v>119</v>
      </c>
      <c r="C4" s="39" t="s">
        <v>109</v>
      </c>
      <c r="D4" s="38" t="s">
        <v>110</v>
      </c>
      <c r="E4" s="38" t="s">
        <v>111</v>
      </c>
      <c r="F4" s="39" t="s">
        <v>112</v>
      </c>
      <c r="G4" s="34">
        <v>0.04</v>
      </c>
      <c r="H4" s="38">
        <v>3.56</v>
      </c>
      <c r="I4" s="40">
        <v>3.14</v>
      </c>
      <c r="J4" s="38">
        <v>3.659</v>
      </c>
      <c r="K4" s="38">
        <v>16.52</v>
      </c>
      <c r="L4" s="38">
        <v>126.85</v>
      </c>
      <c r="M4" s="38">
        <v>147.81</v>
      </c>
      <c r="N4" s="38">
        <v>-0.42</v>
      </c>
      <c r="O4" s="38">
        <v>-16.97</v>
      </c>
      <c r="P4" s="39" t="s">
        <v>113</v>
      </c>
      <c r="Q4" s="38" t="s">
        <v>114</v>
      </c>
      <c r="R4" s="38" t="s">
        <v>114</v>
      </c>
      <c r="S4" s="38" t="b">
        <v>0</v>
      </c>
      <c r="T4" s="38" t="b">
        <v>1</v>
      </c>
      <c r="U4" s="38" t="s">
        <v>117</v>
      </c>
      <c r="V4" s="38" t="b">
        <v>0</v>
      </c>
      <c r="W4" s="38" t="b">
        <v>1</v>
      </c>
      <c r="X4" s="38" t="s">
        <v>114</v>
      </c>
      <c r="Y4" s="38" t="s">
        <v>114</v>
      </c>
      <c r="Z4" s="38" t="s">
        <v>114</v>
      </c>
      <c r="AA4" s="38" t="s">
        <v>114</v>
      </c>
      <c r="AB4" s="38" t="s">
        <v>114</v>
      </c>
    </row>
    <row r="5" ht="16.5" customHeight="1" spans="1:28">
      <c r="A5" s="37" t="s">
        <v>120</v>
      </c>
      <c r="B5" s="38" t="s">
        <v>121</v>
      </c>
      <c r="C5" s="39" t="s">
        <v>109</v>
      </c>
      <c r="D5" s="38" t="s">
        <v>110</v>
      </c>
      <c r="E5" s="38" t="s">
        <v>116</v>
      </c>
      <c r="F5" s="39" t="s">
        <v>112</v>
      </c>
      <c r="G5" s="34">
        <v>0.212</v>
      </c>
      <c r="H5" s="38">
        <v>3616.56</v>
      </c>
      <c r="I5" s="40">
        <v>3142.86</v>
      </c>
      <c r="J5" s="38">
        <v>3662.06</v>
      </c>
      <c r="K5" s="38">
        <v>16.52</v>
      </c>
      <c r="L5" s="38">
        <v>665.97</v>
      </c>
      <c r="M5" s="38">
        <v>775.99</v>
      </c>
      <c r="N5" s="38">
        <v>-473.7</v>
      </c>
      <c r="O5" s="38">
        <v>-100.37</v>
      </c>
      <c r="P5" s="39" t="s">
        <v>113</v>
      </c>
      <c r="Q5" s="38" t="s">
        <v>114</v>
      </c>
      <c r="R5" s="38" t="s">
        <v>114</v>
      </c>
      <c r="S5" s="38" t="b">
        <v>0</v>
      </c>
      <c r="T5" s="38" t="b">
        <v>1</v>
      </c>
      <c r="U5" s="38" t="s">
        <v>117</v>
      </c>
      <c r="V5" s="38" t="b">
        <v>0</v>
      </c>
      <c r="W5" s="38" t="b">
        <v>1</v>
      </c>
      <c r="X5" s="38" t="s">
        <v>114</v>
      </c>
      <c r="Y5" s="38" t="s">
        <v>114</v>
      </c>
      <c r="Z5" s="38" t="s">
        <v>114</v>
      </c>
      <c r="AA5" s="38" t="s">
        <v>114</v>
      </c>
      <c r="AB5" s="38" t="s">
        <v>114</v>
      </c>
    </row>
    <row r="6" ht="16.5" customHeight="1" spans="1:28">
      <c r="A6" s="37" t="s">
        <v>122</v>
      </c>
      <c r="B6" s="38" t="s">
        <v>121</v>
      </c>
      <c r="C6" s="39" t="s">
        <v>109</v>
      </c>
      <c r="D6" s="38" t="s">
        <v>110</v>
      </c>
      <c r="E6" s="38" t="s">
        <v>123</v>
      </c>
      <c r="F6" s="39" t="s">
        <v>112</v>
      </c>
      <c r="G6" s="34">
        <v>45.428</v>
      </c>
      <c r="H6" s="38">
        <v>3616.56</v>
      </c>
      <c r="I6" s="40">
        <v>3142.86</v>
      </c>
      <c r="J6" s="38">
        <v>3662.06</v>
      </c>
      <c r="K6" s="38">
        <v>16.52</v>
      </c>
      <c r="L6" s="38">
        <v>142773.53</v>
      </c>
      <c r="M6" s="38">
        <v>166359.7</v>
      </c>
      <c r="N6" s="38">
        <v>-473.7</v>
      </c>
      <c r="O6" s="38">
        <v>-21519.21</v>
      </c>
      <c r="P6" s="39" t="s">
        <v>113</v>
      </c>
      <c r="Q6" s="38" t="s">
        <v>114</v>
      </c>
      <c r="R6" s="38" t="s">
        <v>114</v>
      </c>
      <c r="S6" s="38" t="b">
        <v>0</v>
      </c>
      <c r="T6" s="38" t="b">
        <v>1</v>
      </c>
      <c r="U6" s="38" t="s">
        <v>117</v>
      </c>
      <c r="V6" s="38" t="b">
        <v>0</v>
      </c>
      <c r="W6" s="38" t="b">
        <v>1</v>
      </c>
      <c r="X6" s="38" t="s">
        <v>114</v>
      </c>
      <c r="Y6" s="38" t="s">
        <v>114</v>
      </c>
      <c r="Z6" s="38" t="s">
        <v>114</v>
      </c>
      <c r="AA6" s="38" t="s">
        <v>114</v>
      </c>
      <c r="AB6" s="38" t="s">
        <v>114</v>
      </c>
    </row>
    <row r="7" ht="16.5" customHeight="1" spans="1:28">
      <c r="A7" s="37" t="s">
        <v>124</v>
      </c>
      <c r="B7" s="38" t="s">
        <v>125</v>
      </c>
      <c r="C7" s="39" t="s">
        <v>109</v>
      </c>
      <c r="D7" s="38" t="s">
        <v>126</v>
      </c>
      <c r="E7" s="38" t="s">
        <v>127</v>
      </c>
      <c r="F7" s="39" t="s">
        <v>112</v>
      </c>
      <c r="G7" s="34">
        <v>7.698</v>
      </c>
      <c r="H7" s="38">
        <v>3547.15</v>
      </c>
      <c r="I7" s="40">
        <v>2979.07</v>
      </c>
      <c r="J7" s="38">
        <v>3471.212</v>
      </c>
      <c r="K7" s="38">
        <v>16.52</v>
      </c>
      <c r="L7" s="38">
        <v>22932.29</v>
      </c>
      <c r="M7" s="38">
        <v>26720.7</v>
      </c>
      <c r="N7" s="38">
        <v>-568.08</v>
      </c>
      <c r="O7" s="38">
        <v>-4372.97</v>
      </c>
      <c r="P7" s="39" t="s">
        <v>113</v>
      </c>
      <c r="Q7" s="38" t="s">
        <v>114</v>
      </c>
      <c r="R7" s="38" t="s">
        <v>114</v>
      </c>
      <c r="S7" s="38" t="b">
        <v>0</v>
      </c>
      <c r="T7" s="38" t="b">
        <v>1</v>
      </c>
      <c r="U7" s="38" t="s">
        <v>117</v>
      </c>
      <c r="V7" s="38" t="b">
        <v>0</v>
      </c>
      <c r="W7" s="38" t="b">
        <v>1</v>
      </c>
      <c r="X7" s="38" t="s">
        <v>114</v>
      </c>
      <c r="Y7" s="38" t="s">
        <v>114</v>
      </c>
      <c r="Z7" s="38" t="s">
        <v>114</v>
      </c>
      <c r="AA7" s="38" t="s">
        <v>114</v>
      </c>
      <c r="AB7" s="38" t="s">
        <v>114</v>
      </c>
    </row>
    <row r="8" ht="16.5" customHeight="1" spans="1:28">
      <c r="A8" s="37" t="s">
        <v>128</v>
      </c>
      <c r="B8" s="38" t="s">
        <v>125</v>
      </c>
      <c r="C8" s="39" t="s">
        <v>109</v>
      </c>
      <c r="D8" s="38" t="s">
        <v>126</v>
      </c>
      <c r="E8" s="38" t="s">
        <v>116</v>
      </c>
      <c r="F8" s="39" t="s">
        <v>112</v>
      </c>
      <c r="G8" s="34">
        <v>10.456</v>
      </c>
      <c r="H8" s="38">
        <v>3547.15</v>
      </c>
      <c r="I8" s="40">
        <v>3037.87</v>
      </c>
      <c r="J8" s="38">
        <v>3539.726</v>
      </c>
      <c r="K8" s="38">
        <v>16.52</v>
      </c>
      <c r="L8" s="38">
        <v>31764.27</v>
      </c>
      <c r="M8" s="38">
        <v>37011.73</v>
      </c>
      <c r="N8" s="38">
        <v>-509.28</v>
      </c>
      <c r="O8" s="38">
        <v>-5325.08</v>
      </c>
      <c r="P8" s="39" t="s">
        <v>113</v>
      </c>
      <c r="Q8" s="38" t="s">
        <v>114</v>
      </c>
      <c r="R8" s="38" t="s">
        <v>114</v>
      </c>
      <c r="S8" s="38" t="b">
        <v>0</v>
      </c>
      <c r="T8" s="38" t="b">
        <v>1</v>
      </c>
      <c r="U8" s="38" t="s">
        <v>117</v>
      </c>
      <c r="V8" s="38" t="b">
        <v>0</v>
      </c>
      <c r="W8" s="38" t="b">
        <v>1</v>
      </c>
      <c r="X8" s="38" t="s">
        <v>114</v>
      </c>
      <c r="Y8" s="38" t="s">
        <v>114</v>
      </c>
      <c r="Z8" s="38" t="s">
        <v>114</v>
      </c>
      <c r="AA8" s="38" t="s">
        <v>114</v>
      </c>
      <c r="AB8" s="38" t="s">
        <v>114</v>
      </c>
    </row>
    <row r="9" ht="16.5" customHeight="1" spans="1:28">
      <c r="A9" s="37" t="s">
        <v>129</v>
      </c>
      <c r="B9" s="38" t="s">
        <v>125</v>
      </c>
      <c r="C9" s="39" t="s">
        <v>109</v>
      </c>
      <c r="D9" s="38" t="s">
        <v>126</v>
      </c>
      <c r="E9" s="38" t="s">
        <v>130</v>
      </c>
      <c r="F9" s="39" t="s">
        <v>112</v>
      </c>
      <c r="G9" s="34">
        <v>0.245</v>
      </c>
      <c r="H9" s="38">
        <v>3547.15</v>
      </c>
      <c r="I9" s="40">
        <v>2979.07</v>
      </c>
      <c r="J9" s="38">
        <v>3471.212</v>
      </c>
      <c r="K9" s="38">
        <v>16.52</v>
      </c>
      <c r="L9" s="38">
        <v>729.87</v>
      </c>
      <c r="M9" s="38">
        <v>850.45</v>
      </c>
      <c r="N9" s="38">
        <v>-568.08</v>
      </c>
      <c r="O9" s="38">
        <v>-139.18</v>
      </c>
      <c r="P9" s="39" t="s">
        <v>113</v>
      </c>
      <c r="Q9" s="38" t="s">
        <v>114</v>
      </c>
      <c r="R9" s="38" t="s">
        <v>114</v>
      </c>
      <c r="S9" s="38" t="b">
        <v>0</v>
      </c>
      <c r="T9" s="38" t="b">
        <v>1</v>
      </c>
      <c r="U9" s="38" t="s">
        <v>117</v>
      </c>
      <c r="V9" s="38" t="b">
        <v>0</v>
      </c>
      <c r="W9" s="38" t="b">
        <v>1</v>
      </c>
      <c r="X9" s="38" t="s">
        <v>114</v>
      </c>
      <c r="Y9" s="38" t="s">
        <v>114</v>
      </c>
      <c r="Z9" s="38" t="s">
        <v>114</v>
      </c>
      <c r="AA9" s="38" t="s">
        <v>114</v>
      </c>
      <c r="AB9" s="38" t="s">
        <v>114</v>
      </c>
    </row>
    <row r="10" ht="16.5" customHeight="1" spans="1:28">
      <c r="A10" s="37" t="s">
        <v>131</v>
      </c>
      <c r="B10" s="38" t="s">
        <v>125</v>
      </c>
      <c r="C10" s="39" t="s">
        <v>109</v>
      </c>
      <c r="D10" s="38" t="s">
        <v>126</v>
      </c>
      <c r="E10" s="38" t="s">
        <v>132</v>
      </c>
      <c r="F10" s="39" t="s">
        <v>112</v>
      </c>
      <c r="G10" s="34">
        <v>0.06</v>
      </c>
      <c r="H10" s="38">
        <v>3547.15</v>
      </c>
      <c r="I10" s="40">
        <v>3037.87</v>
      </c>
      <c r="J10" s="38">
        <v>3539.726</v>
      </c>
      <c r="K10" s="38">
        <v>16.52</v>
      </c>
      <c r="L10" s="38">
        <v>180.75</v>
      </c>
      <c r="M10" s="38">
        <v>210.61</v>
      </c>
      <c r="N10" s="38">
        <v>-509.28</v>
      </c>
      <c r="O10" s="38">
        <v>-30.3</v>
      </c>
      <c r="P10" s="39" t="s">
        <v>113</v>
      </c>
      <c r="Q10" s="38" t="s">
        <v>114</v>
      </c>
      <c r="R10" s="38" t="s">
        <v>114</v>
      </c>
      <c r="S10" s="38" t="b">
        <v>0</v>
      </c>
      <c r="T10" s="38" t="b">
        <v>1</v>
      </c>
      <c r="U10" s="38" t="s">
        <v>117</v>
      </c>
      <c r="V10" s="38" t="b">
        <v>0</v>
      </c>
      <c r="W10" s="38" t="b">
        <v>1</v>
      </c>
      <c r="X10" s="38" t="s">
        <v>114</v>
      </c>
      <c r="Y10" s="38" t="s">
        <v>114</v>
      </c>
      <c r="Z10" s="38" t="s">
        <v>114</v>
      </c>
      <c r="AA10" s="38" t="s">
        <v>114</v>
      </c>
      <c r="AB10" s="38" t="s">
        <v>114</v>
      </c>
    </row>
    <row r="11" ht="16.5" customHeight="1" spans="1:28">
      <c r="A11" s="37" t="s">
        <v>133</v>
      </c>
      <c r="B11" s="38" t="s">
        <v>134</v>
      </c>
      <c r="C11" s="39" t="s">
        <v>109</v>
      </c>
      <c r="D11" s="38" t="s">
        <v>126</v>
      </c>
      <c r="E11" s="38" t="s">
        <v>111</v>
      </c>
      <c r="F11" s="39" t="s">
        <v>112</v>
      </c>
      <c r="G11" s="34">
        <v>11.617</v>
      </c>
      <c r="H11" s="38">
        <v>3738.53</v>
      </c>
      <c r="I11" s="40">
        <v>3058.49</v>
      </c>
      <c r="J11" s="38">
        <v>3563.753</v>
      </c>
      <c r="K11" s="38">
        <v>16.52</v>
      </c>
      <c r="L11" s="38">
        <v>35529.56</v>
      </c>
      <c r="M11" s="38">
        <v>41399.05</v>
      </c>
      <c r="N11" s="38">
        <v>-680.04</v>
      </c>
      <c r="O11" s="38">
        <v>-7899.82</v>
      </c>
      <c r="P11" s="39" t="s">
        <v>113</v>
      </c>
      <c r="Q11" s="38" t="s">
        <v>114</v>
      </c>
      <c r="R11" s="38" t="s">
        <v>114</v>
      </c>
      <c r="S11" s="38" t="b">
        <v>0</v>
      </c>
      <c r="T11" s="38" t="b">
        <v>1</v>
      </c>
      <c r="U11" s="38" t="s">
        <v>117</v>
      </c>
      <c r="V11" s="38" t="b">
        <v>0</v>
      </c>
      <c r="W11" s="38" t="b">
        <v>1</v>
      </c>
      <c r="X11" s="38" t="s">
        <v>114</v>
      </c>
      <c r="Y11" s="38" t="s">
        <v>114</v>
      </c>
      <c r="Z11" s="38" t="s">
        <v>114</v>
      </c>
      <c r="AA11" s="38" t="s">
        <v>114</v>
      </c>
      <c r="AB11" s="38" t="s">
        <v>114</v>
      </c>
    </row>
    <row r="12" ht="16.5" customHeight="1" spans="1:28">
      <c r="A12" s="37" t="s">
        <v>135</v>
      </c>
      <c r="B12" s="38" t="s">
        <v>136</v>
      </c>
      <c r="C12" s="39" t="s">
        <v>109</v>
      </c>
      <c r="D12" s="38" t="s">
        <v>126</v>
      </c>
      <c r="E12" s="38" t="s">
        <v>116</v>
      </c>
      <c r="F12" s="39" t="s">
        <v>112</v>
      </c>
      <c r="G12" s="34">
        <v>17.903</v>
      </c>
      <c r="H12" s="38">
        <v>3547.15</v>
      </c>
      <c r="I12" s="40">
        <v>3037.87</v>
      </c>
      <c r="J12" s="38">
        <v>3539.726</v>
      </c>
      <c r="K12" s="38">
        <v>16.52</v>
      </c>
      <c r="L12" s="38">
        <v>54386.99</v>
      </c>
      <c r="M12" s="38">
        <v>63371.71</v>
      </c>
      <c r="N12" s="38">
        <v>-509.28</v>
      </c>
      <c r="O12" s="38">
        <v>-9117.65</v>
      </c>
      <c r="P12" s="39" t="s">
        <v>113</v>
      </c>
      <c r="Q12" s="38" t="s">
        <v>114</v>
      </c>
      <c r="R12" s="38" t="s">
        <v>114</v>
      </c>
      <c r="S12" s="38" t="b">
        <v>0</v>
      </c>
      <c r="T12" s="38" t="b">
        <v>1</v>
      </c>
      <c r="U12" s="38" t="s">
        <v>114</v>
      </c>
      <c r="V12" s="38" t="b">
        <v>0</v>
      </c>
      <c r="W12" s="38" t="b">
        <v>1</v>
      </c>
      <c r="X12" s="38" t="s">
        <v>114</v>
      </c>
      <c r="Y12" s="38" t="s">
        <v>114</v>
      </c>
      <c r="Z12" s="38" t="s">
        <v>114</v>
      </c>
      <c r="AA12" s="38" t="s">
        <v>114</v>
      </c>
      <c r="AB12" s="38" t="s">
        <v>114</v>
      </c>
    </row>
    <row r="13" ht="16.5" customHeight="1" spans="1:28">
      <c r="A13" s="37" t="s">
        <v>137</v>
      </c>
      <c r="B13" s="38" t="s">
        <v>136</v>
      </c>
      <c r="C13" s="39" t="s">
        <v>109</v>
      </c>
      <c r="D13" s="38" t="s">
        <v>126</v>
      </c>
      <c r="E13" s="38" t="s">
        <v>138</v>
      </c>
      <c r="F13" s="39" t="s">
        <v>112</v>
      </c>
      <c r="G13" s="34">
        <v>35.937</v>
      </c>
      <c r="H13" s="38">
        <v>3547.15</v>
      </c>
      <c r="I13" s="40">
        <v>3037.87</v>
      </c>
      <c r="J13" s="38">
        <v>3539.726</v>
      </c>
      <c r="K13" s="38">
        <v>16.52</v>
      </c>
      <c r="L13" s="38">
        <v>109171.02</v>
      </c>
      <c r="M13" s="38">
        <v>127206.07</v>
      </c>
      <c r="N13" s="38">
        <v>-509.28</v>
      </c>
      <c r="O13" s="38">
        <v>-18301.84</v>
      </c>
      <c r="P13" s="39" t="s">
        <v>113</v>
      </c>
      <c r="Q13" s="38" t="s">
        <v>114</v>
      </c>
      <c r="R13" s="38" t="s">
        <v>114</v>
      </c>
      <c r="S13" s="38" t="b">
        <v>0</v>
      </c>
      <c r="T13" s="38" t="b">
        <v>1</v>
      </c>
      <c r="U13" s="38" t="s">
        <v>117</v>
      </c>
      <c r="V13" s="38" t="b">
        <v>0</v>
      </c>
      <c r="W13" s="38" t="b">
        <v>1</v>
      </c>
      <c r="X13" s="38" t="s">
        <v>114</v>
      </c>
      <c r="Y13" s="38" t="s">
        <v>114</v>
      </c>
      <c r="Z13" s="38" t="s">
        <v>114</v>
      </c>
      <c r="AA13" s="38" t="s">
        <v>114</v>
      </c>
      <c r="AB13" s="38" t="s">
        <v>114</v>
      </c>
    </row>
    <row r="14" ht="16.5" customHeight="1" spans="1:28">
      <c r="A14" s="37" t="s">
        <v>139</v>
      </c>
      <c r="B14" s="38" t="s">
        <v>136</v>
      </c>
      <c r="C14" s="39" t="s">
        <v>109</v>
      </c>
      <c r="D14" s="38" t="s">
        <v>126</v>
      </c>
      <c r="E14" s="38" t="s">
        <v>140</v>
      </c>
      <c r="F14" s="39" t="s">
        <v>112</v>
      </c>
      <c r="G14" s="34">
        <v>350.442</v>
      </c>
      <c r="H14" s="38">
        <v>3547.15</v>
      </c>
      <c r="I14" s="40">
        <v>3037.87</v>
      </c>
      <c r="J14" s="38">
        <v>3539.726</v>
      </c>
      <c r="K14" s="38">
        <v>16.52</v>
      </c>
      <c r="L14" s="38">
        <v>1064596.02</v>
      </c>
      <c r="M14" s="38">
        <v>1240467.24</v>
      </c>
      <c r="N14" s="38">
        <v>-509.28</v>
      </c>
      <c r="O14" s="38">
        <v>-178472.9</v>
      </c>
      <c r="P14" s="39" t="s">
        <v>113</v>
      </c>
      <c r="Q14" s="38" t="s">
        <v>114</v>
      </c>
      <c r="R14" s="38" t="s">
        <v>114</v>
      </c>
      <c r="S14" s="38" t="b">
        <v>0</v>
      </c>
      <c r="T14" s="38" t="b">
        <v>1</v>
      </c>
      <c r="U14" s="38" t="s">
        <v>117</v>
      </c>
      <c r="V14" s="38" t="b">
        <v>0</v>
      </c>
      <c r="W14" s="38" t="b">
        <v>1</v>
      </c>
      <c r="X14" s="38" t="s">
        <v>114</v>
      </c>
      <c r="Y14" s="38" t="s">
        <v>114</v>
      </c>
      <c r="Z14" s="38" t="s">
        <v>114</v>
      </c>
      <c r="AA14" s="38" t="s">
        <v>114</v>
      </c>
      <c r="AB14" s="38" t="s">
        <v>114</v>
      </c>
    </row>
    <row r="15" ht="16.5" customHeight="1" spans="1:28">
      <c r="A15" s="37" t="s">
        <v>141</v>
      </c>
      <c r="B15" s="38" t="s">
        <v>136</v>
      </c>
      <c r="C15" s="39" t="s">
        <v>109</v>
      </c>
      <c r="D15" s="38" t="s">
        <v>126</v>
      </c>
      <c r="E15" s="38" t="s">
        <v>142</v>
      </c>
      <c r="F15" s="39" t="s">
        <v>112</v>
      </c>
      <c r="G15" s="34">
        <v>61.175</v>
      </c>
      <c r="H15" s="38">
        <v>3547.15</v>
      </c>
      <c r="I15" s="40">
        <v>2979.07</v>
      </c>
      <c r="J15" s="38">
        <v>3471.212</v>
      </c>
      <c r="K15" s="38">
        <v>16.52</v>
      </c>
      <c r="L15" s="38">
        <v>182244.31</v>
      </c>
      <c r="M15" s="38">
        <v>212351.05</v>
      </c>
      <c r="N15" s="38">
        <v>-568.08</v>
      </c>
      <c r="O15" s="38">
        <v>-34752.24</v>
      </c>
      <c r="P15" s="39" t="s">
        <v>113</v>
      </c>
      <c r="Q15" s="38" t="s">
        <v>114</v>
      </c>
      <c r="R15" s="38" t="s">
        <v>114</v>
      </c>
      <c r="S15" s="38" t="b">
        <v>0</v>
      </c>
      <c r="T15" s="38" t="b">
        <v>1</v>
      </c>
      <c r="U15" s="38" t="s">
        <v>117</v>
      </c>
      <c r="V15" s="38" t="b">
        <v>0</v>
      </c>
      <c r="W15" s="38" t="b">
        <v>1</v>
      </c>
      <c r="X15" s="38" t="s">
        <v>114</v>
      </c>
      <c r="Y15" s="38" t="s">
        <v>114</v>
      </c>
      <c r="Z15" s="38" t="s">
        <v>114</v>
      </c>
      <c r="AA15" s="38" t="s">
        <v>114</v>
      </c>
      <c r="AB15" s="38" t="s">
        <v>114</v>
      </c>
    </row>
    <row r="16" ht="24" customHeight="1" spans="1:28">
      <c r="A16" s="37" t="s">
        <v>143</v>
      </c>
      <c r="B16" s="38" t="s">
        <v>136</v>
      </c>
      <c r="C16" s="39" t="s">
        <v>109</v>
      </c>
      <c r="D16" s="38" t="s">
        <v>126</v>
      </c>
      <c r="E16" s="38" t="s">
        <v>127</v>
      </c>
      <c r="F16" s="39" t="s">
        <v>112</v>
      </c>
      <c r="G16" s="34">
        <v>6.363</v>
      </c>
      <c r="H16" s="38">
        <v>3547.15</v>
      </c>
      <c r="I16" s="40">
        <v>2979.07</v>
      </c>
      <c r="J16" s="38">
        <v>3471.212</v>
      </c>
      <c r="K16" s="38">
        <v>16.52</v>
      </c>
      <c r="L16" s="38">
        <v>18955.23</v>
      </c>
      <c r="M16" s="38">
        <v>22086.63</v>
      </c>
      <c r="N16" s="38">
        <v>-568.08</v>
      </c>
      <c r="O16" s="38">
        <v>-3614.58</v>
      </c>
      <c r="P16" s="39" t="s">
        <v>113</v>
      </c>
      <c r="Q16" s="38" t="s">
        <v>114</v>
      </c>
      <c r="R16" s="38" t="s">
        <v>114</v>
      </c>
      <c r="S16" s="38" t="b">
        <v>0</v>
      </c>
      <c r="T16" s="38" t="b">
        <v>1</v>
      </c>
      <c r="U16" s="38" t="s">
        <v>144</v>
      </c>
      <c r="V16" s="38" t="b">
        <v>0</v>
      </c>
      <c r="W16" s="38" t="b">
        <v>1</v>
      </c>
      <c r="X16" s="38" t="s">
        <v>114</v>
      </c>
      <c r="Y16" s="38" t="s">
        <v>114</v>
      </c>
      <c r="Z16" s="38" t="s">
        <v>114</v>
      </c>
      <c r="AA16" s="38" t="s">
        <v>114</v>
      </c>
      <c r="AB16" s="38" t="s">
        <v>114</v>
      </c>
    </row>
    <row r="17" ht="24" customHeight="1" spans="1:28">
      <c r="A17" s="37" t="s">
        <v>145</v>
      </c>
      <c r="B17" s="38" t="s">
        <v>136</v>
      </c>
      <c r="C17" s="39" t="s">
        <v>109</v>
      </c>
      <c r="D17" s="38" t="s">
        <v>126</v>
      </c>
      <c r="E17" s="38" t="s">
        <v>111</v>
      </c>
      <c r="F17" s="39" t="s">
        <v>112</v>
      </c>
      <c r="G17" s="34">
        <v>1.252</v>
      </c>
      <c r="H17" s="38">
        <v>3547.15</v>
      </c>
      <c r="I17" s="40">
        <v>3058.49</v>
      </c>
      <c r="J17" s="38">
        <v>3563.753</v>
      </c>
      <c r="K17" s="38">
        <v>16.52</v>
      </c>
      <c r="L17" s="38">
        <v>3829.84</v>
      </c>
      <c r="M17" s="38">
        <v>4462.53</v>
      </c>
      <c r="N17" s="38">
        <v>-488.66</v>
      </c>
      <c r="O17" s="38">
        <v>-611.9</v>
      </c>
      <c r="P17" s="39" t="s">
        <v>113</v>
      </c>
      <c r="Q17" s="38" t="s">
        <v>114</v>
      </c>
      <c r="R17" s="38" t="s">
        <v>114</v>
      </c>
      <c r="S17" s="38" t="b">
        <v>0</v>
      </c>
      <c r="T17" s="38" t="b">
        <v>1</v>
      </c>
      <c r="U17" s="38" t="s">
        <v>144</v>
      </c>
      <c r="V17" s="38" t="b">
        <v>0</v>
      </c>
      <c r="W17" s="38" t="b">
        <v>1</v>
      </c>
      <c r="X17" s="38" t="s">
        <v>114</v>
      </c>
      <c r="Y17" s="38" t="s">
        <v>114</v>
      </c>
      <c r="Z17" s="38" t="s">
        <v>114</v>
      </c>
      <c r="AA17" s="38" t="s">
        <v>114</v>
      </c>
      <c r="AB17" s="38" t="s">
        <v>114</v>
      </c>
    </row>
    <row r="18" ht="16.5" customHeight="1" spans="1:28">
      <c r="A18" s="37" t="s">
        <v>146</v>
      </c>
      <c r="B18" s="38" t="s">
        <v>147</v>
      </c>
      <c r="C18" s="39" t="s">
        <v>109</v>
      </c>
      <c r="D18" s="38" t="s">
        <v>54</v>
      </c>
      <c r="E18" s="38" t="s">
        <v>111</v>
      </c>
      <c r="F18" s="39" t="s">
        <v>112</v>
      </c>
      <c r="G18" s="34">
        <v>1.028</v>
      </c>
      <c r="H18" s="38">
        <v>3560.45</v>
      </c>
      <c r="I18" s="40">
        <v>3142.86</v>
      </c>
      <c r="J18" s="38">
        <v>3662.06</v>
      </c>
      <c r="K18" s="38">
        <v>16.52</v>
      </c>
      <c r="L18" s="38">
        <v>3231.49</v>
      </c>
      <c r="M18" s="38">
        <v>3765.33</v>
      </c>
      <c r="N18" s="38">
        <v>-417.59</v>
      </c>
      <c r="O18" s="38">
        <v>-429.36</v>
      </c>
      <c r="P18" s="39" t="s">
        <v>113</v>
      </c>
      <c r="Q18" s="38" t="s">
        <v>114</v>
      </c>
      <c r="R18" s="38" t="s">
        <v>114</v>
      </c>
      <c r="S18" s="38" t="b">
        <v>0</v>
      </c>
      <c r="T18" s="38" t="b">
        <v>1</v>
      </c>
      <c r="U18" s="38" t="s">
        <v>117</v>
      </c>
      <c r="V18" s="38" t="b">
        <v>0</v>
      </c>
      <c r="W18" s="38" t="b">
        <v>1</v>
      </c>
      <c r="X18" s="38" t="s">
        <v>114</v>
      </c>
      <c r="Y18" s="38" t="s">
        <v>114</v>
      </c>
      <c r="Z18" s="38" t="s">
        <v>114</v>
      </c>
      <c r="AA18" s="38" t="s">
        <v>114</v>
      </c>
      <c r="AB18" s="38" t="s">
        <v>114</v>
      </c>
    </row>
    <row r="19" ht="24" customHeight="1" spans="1:28">
      <c r="A19" s="37" t="s">
        <v>148</v>
      </c>
      <c r="B19" s="38" t="s">
        <v>147</v>
      </c>
      <c r="C19" s="39" t="s">
        <v>109</v>
      </c>
      <c r="D19" s="38" t="s">
        <v>149</v>
      </c>
      <c r="E19" s="38" t="s">
        <v>111</v>
      </c>
      <c r="F19" s="39" t="s">
        <v>112</v>
      </c>
      <c r="G19" s="34">
        <v>0.293</v>
      </c>
      <c r="H19" s="38">
        <v>3560.45</v>
      </c>
      <c r="I19" s="40">
        <v>3058.49</v>
      </c>
      <c r="J19" s="38">
        <v>3563.753</v>
      </c>
      <c r="K19" s="38">
        <v>16.52</v>
      </c>
      <c r="L19" s="38">
        <v>895.22</v>
      </c>
      <c r="M19" s="38">
        <v>1043.11</v>
      </c>
      <c r="N19" s="38">
        <v>-501.96</v>
      </c>
      <c r="O19" s="38">
        <v>-146.92</v>
      </c>
      <c r="P19" s="39" t="s">
        <v>113</v>
      </c>
      <c r="Q19" s="38" t="s">
        <v>114</v>
      </c>
      <c r="R19" s="38" t="s">
        <v>114</v>
      </c>
      <c r="S19" s="38" t="b">
        <v>0</v>
      </c>
      <c r="T19" s="38" t="b">
        <v>1</v>
      </c>
      <c r="U19" s="38" t="s">
        <v>144</v>
      </c>
      <c r="V19" s="38" t="b">
        <v>0</v>
      </c>
      <c r="W19" s="38" t="b">
        <v>1</v>
      </c>
      <c r="X19" s="38" t="s">
        <v>114</v>
      </c>
      <c r="Y19" s="38" t="s">
        <v>114</v>
      </c>
      <c r="Z19" s="38" t="s">
        <v>114</v>
      </c>
      <c r="AA19" s="38" t="s">
        <v>114</v>
      </c>
      <c r="AB19" s="38" t="s">
        <v>114</v>
      </c>
    </row>
    <row r="20" ht="16.5" customHeight="1" spans="1:28">
      <c r="A20" s="37" t="s">
        <v>150</v>
      </c>
      <c r="B20" s="38" t="s">
        <v>151</v>
      </c>
      <c r="C20" s="39" t="s">
        <v>109</v>
      </c>
      <c r="D20" s="38" t="s">
        <v>54</v>
      </c>
      <c r="E20" s="38" t="s">
        <v>111</v>
      </c>
      <c r="F20" s="39" t="s">
        <v>112</v>
      </c>
      <c r="G20" s="34">
        <v>0.013</v>
      </c>
      <c r="H20" s="38">
        <v>3.56</v>
      </c>
      <c r="I20" s="40">
        <v>3.14</v>
      </c>
      <c r="J20" s="38">
        <v>3.659</v>
      </c>
      <c r="K20" s="38">
        <v>16.52</v>
      </c>
      <c r="L20" s="38">
        <v>42.12</v>
      </c>
      <c r="M20" s="38">
        <v>49.08</v>
      </c>
      <c r="N20" s="38">
        <v>-0.42</v>
      </c>
      <c r="O20" s="38">
        <v>-5.63</v>
      </c>
      <c r="P20" s="39" t="s">
        <v>113</v>
      </c>
      <c r="Q20" s="38" t="s">
        <v>114</v>
      </c>
      <c r="R20" s="38" t="s">
        <v>114</v>
      </c>
      <c r="S20" s="38" t="b">
        <v>0</v>
      </c>
      <c r="T20" s="38" t="b">
        <v>1</v>
      </c>
      <c r="U20" s="38" t="s">
        <v>117</v>
      </c>
      <c r="V20" s="38" t="b">
        <v>0</v>
      </c>
      <c r="W20" s="38" t="b">
        <v>1</v>
      </c>
      <c r="X20" s="38" t="s">
        <v>114</v>
      </c>
      <c r="Y20" s="38" t="s">
        <v>114</v>
      </c>
      <c r="Z20" s="38" t="s">
        <v>114</v>
      </c>
      <c r="AA20" s="38" t="s">
        <v>114</v>
      </c>
      <c r="AB20" s="38" t="s">
        <v>114</v>
      </c>
    </row>
    <row r="21" ht="24" customHeight="1" spans="1:28">
      <c r="A21" s="37" t="s">
        <v>152</v>
      </c>
      <c r="B21" s="38" t="s">
        <v>153</v>
      </c>
      <c r="C21" s="39" t="s">
        <v>109</v>
      </c>
      <c r="D21" s="38" t="s">
        <v>149</v>
      </c>
      <c r="E21" s="38" t="s">
        <v>116</v>
      </c>
      <c r="F21" s="39" t="s">
        <v>112</v>
      </c>
      <c r="G21" s="34">
        <v>1.37</v>
      </c>
      <c r="H21" s="38">
        <v>3616.56</v>
      </c>
      <c r="I21" s="40">
        <v>3037.87</v>
      </c>
      <c r="J21" s="38">
        <v>3539.726</v>
      </c>
      <c r="K21" s="38">
        <v>16.52</v>
      </c>
      <c r="L21" s="38">
        <v>4161.58</v>
      </c>
      <c r="M21" s="38">
        <v>4849.07</v>
      </c>
      <c r="N21" s="38">
        <v>-578.69</v>
      </c>
      <c r="O21" s="38">
        <v>-792.75</v>
      </c>
      <c r="P21" s="39" t="s">
        <v>113</v>
      </c>
      <c r="Q21" s="38" t="s">
        <v>114</v>
      </c>
      <c r="R21" s="38" t="s">
        <v>114</v>
      </c>
      <c r="S21" s="38" t="b">
        <v>0</v>
      </c>
      <c r="T21" s="38" t="b">
        <v>1</v>
      </c>
      <c r="U21" s="38" t="s">
        <v>144</v>
      </c>
      <c r="V21" s="38" t="b">
        <v>0</v>
      </c>
      <c r="W21" s="38" t="b">
        <v>1</v>
      </c>
      <c r="X21" s="38" t="s">
        <v>114</v>
      </c>
      <c r="Y21" s="38" t="s">
        <v>114</v>
      </c>
      <c r="Z21" s="38" t="s">
        <v>114</v>
      </c>
      <c r="AA21" s="38" t="s">
        <v>114</v>
      </c>
      <c r="AB21" s="38" t="s">
        <v>114</v>
      </c>
    </row>
    <row r="22" ht="16.5" customHeight="1" spans="1:28">
      <c r="A22" s="37" t="s">
        <v>154</v>
      </c>
      <c r="B22" s="38" t="s">
        <v>155</v>
      </c>
      <c r="C22" s="39" t="s">
        <v>109</v>
      </c>
      <c r="D22" s="38" t="s">
        <v>156</v>
      </c>
      <c r="E22" s="38" t="s">
        <v>138</v>
      </c>
      <c r="F22" s="39" t="s">
        <v>112</v>
      </c>
      <c r="G22" s="41">
        <v>0.009</v>
      </c>
      <c r="H22" s="38">
        <v>4.1</v>
      </c>
      <c r="I22" s="40">
        <v>3.98</v>
      </c>
      <c r="J22" s="38">
        <v>4.637</v>
      </c>
      <c r="K22" s="38">
        <v>16.52</v>
      </c>
      <c r="L22" s="38">
        <v>36.47</v>
      </c>
      <c r="M22" s="38">
        <v>42.49</v>
      </c>
      <c r="N22" s="38">
        <v>-0.12</v>
      </c>
      <c r="O22" s="38">
        <v>-1.1</v>
      </c>
      <c r="P22" s="39" t="s">
        <v>113</v>
      </c>
      <c r="Q22" s="38" t="s">
        <v>114</v>
      </c>
      <c r="R22" s="38" t="s">
        <v>114</v>
      </c>
      <c r="S22" s="38" t="b">
        <v>0</v>
      </c>
      <c r="T22" s="38" t="b">
        <v>1</v>
      </c>
      <c r="U22" s="38" t="s">
        <v>117</v>
      </c>
      <c r="V22" s="38" t="b">
        <v>0</v>
      </c>
      <c r="W22" s="38" t="b">
        <v>1</v>
      </c>
      <c r="X22" s="38" t="s">
        <v>114</v>
      </c>
      <c r="Y22" s="38" t="s">
        <v>114</v>
      </c>
      <c r="Z22" s="38" t="s">
        <v>114</v>
      </c>
      <c r="AA22" s="38" t="s">
        <v>114</v>
      </c>
      <c r="AB22" s="38" t="s">
        <v>114</v>
      </c>
    </row>
    <row r="23" spans="1:28">
      <c r="G23" s="29">
        <v>5.3308357</v>
      </c>
    </row>
    <row r="24" spans="1:28">
      <c r="G24" s="29">
        <v>28.5950955</v>
      </c>
    </row>
  </sheetData>
  <printOptions gridLines="1"/>
  <pageMargins left="0.75" right="0.75" top="1" bottom="1" header="0.5" footer="0.5"/>
  <pageSetup paperSize="9" orientation="portrait"/>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3"/>
  <sheetViews>
    <sheetView zoomScale="160" zoomScaleNormal="160" zoomScaleSheetLayoutView="60" workbookViewId="0">
      <selection activeCell="G37" sqref="G37"/>
    </sheetView>
  </sheetViews>
  <sheetFormatPr defaultColWidth="9.14285714285714" defaultRowHeight="12.75" outlineLevelRow="2"/>
  <cols>
    <col min="1" max="1" width="3.14285714285714" style="29" customWidth="1"/>
    <col min="2" max="2" width="11.4380952380952" style="29" customWidth="1"/>
    <col min="3" max="3" width="12.8571428571429" style="29" customWidth="1"/>
    <col min="4" max="4" width="5.71428571428571" style="29" customWidth="1"/>
    <col min="5" max="5" width="20" style="29" customWidth="1"/>
    <col min="6" max="6" width="13.8571428571429" style="29" customWidth="1"/>
    <col min="7" max="7" width="6.43809523809524" style="29" customWidth="1"/>
    <col min="8" max="9" width="11.4380952380952" style="29" customWidth="1"/>
    <col min="10" max="10" width="13.4380952380952" style="29" customWidth="1"/>
    <col min="11" max="11" width="11.4380952380952" style="29" customWidth="1"/>
    <col min="12" max="12" width="9.28571428571429" style="29" customWidth="1"/>
    <col min="13" max="13" width="14.7142857142857" style="29" customWidth="1"/>
    <col min="14" max="14" width="15.7142857142857" style="29" customWidth="1"/>
    <col min="15" max="15" width="12.7142857142857" style="29" customWidth="1"/>
    <col min="16" max="16" width="11.4380952380952" style="29" customWidth="1"/>
    <col min="17" max="16384" width="9.14285714285714" style="29"/>
  </cols>
  <sheetData>
    <row r="1" ht="18" customHeight="1" spans="1:16">
      <c r="B1" s="30" t="s">
        <v>95</v>
      </c>
      <c r="C1" s="30" t="s">
        <v>82</v>
      </c>
      <c r="D1" s="30" t="s">
        <v>83</v>
      </c>
      <c r="E1" s="30" t="s">
        <v>41</v>
      </c>
      <c r="F1" s="30" t="s">
        <v>84</v>
      </c>
      <c r="G1" s="30" t="s">
        <v>85</v>
      </c>
      <c r="H1" s="30" t="s">
        <v>86</v>
      </c>
      <c r="I1" s="30" t="s">
        <v>87</v>
      </c>
      <c r="J1" s="30" t="s">
        <v>88</v>
      </c>
      <c r="K1" s="30" t="s">
        <v>157</v>
      </c>
      <c r="L1" s="30" t="s">
        <v>158</v>
      </c>
      <c r="M1" s="30" t="s">
        <v>159</v>
      </c>
      <c r="N1" s="30" t="s">
        <v>91</v>
      </c>
      <c r="O1" s="30" t="s">
        <v>160</v>
      </c>
      <c r="P1" s="30" t="s">
        <v>34</v>
      </c>
    </row>
    <row r="2" s="28" customFormat="1" ht="16.5" customHeight="1" spans="1:16">
      <c r="A2" s="31" t="s">
        <v>128</v>
      </c>
      <c r="B2" s="32" t="s">
        <v>161</v>
      </c>
      <c r="C2" s="32" t="s">
        <v>162</v>
      </c>
      <c r="D2" s="33" t="s">
        <v>109</v>
      </c>
      <c r="E2" s="32" t="s">
        <v>54</v>
      </c>
      <c r="F2" s="32" t="s">
        <v>163</v>
      </c>
      <c r="G2" s="33" t="s">
        <v>164</v>
      </c>
      <c r="H2" s="34">
        <f>5330.8357/1000</f>
        <v>5.3308357</v>
      </c>
      <c r="I2" s="32">
        <v>4.674</v>
      </c>
      <c r="J2" s="35">
        <v>3.142</v>
      </c>
      <c r="K2" s="32" t="s">
        <v>114</v>
      </c>
      <c r="L2" s="32">
        <v>-1.532</v>
      </c>
      <c r="M2" s="32">
        <v>24916.33</v>
      </c>
      <c r="N2" s="32">
        <v>16749.49</v>
      </c>
      <c r="O2" s="32">
        <v>-8166.84</v>
      </c>
      <c r="P2" s="32" t="s">
        <v>114</v>
      </c>
    </row>
    <row r="3" s="28" customFormat="1" ht="16.5" customHeight="1" spans="1:16">
      <c r="A3" s="31" t="s">
        <v>129</v>
      </c>
      <c r="B3" s="32" t="s">
        <v>161</v>
      </c>
      <c r="C3" s="32" t="s">
        <v>165</v>
      </c>
      <c r="D3" s="33" t="s">
        <v>109</v>
      </c>
      <c r="E3" s="32" t="s">
        <v>149</v>
      </c>
      <c r="F3" s="32" t="s">
        <v>166</v>
      </c>
      <c r="G3" s="33" t="s">
        <v>164</v>
      </c>
      <c r="H3" s="36">
        <f>28595.0955/1000</f>
        <v>28.5950955</v>
      </c>
      <c r="I3" s="32">
        <v>4.674</v>
      </c>
      <c r="J3" s="35">
        <v>3.037</v>
      </c>
      <c r="K3" s="32">
        <v>16.52</v>
      </c>
      <c r="L3" s="32">
        <v>-1.637</v>
      </c>
      <c r="M3" s="32">
        <v>133653.48</v>
      </c>
      <c r="N3" s="32">
        <v>86843.31</v>
      </c>
      <c r="O3" s="32">
        <v>-46810.17</v>
      </c>
      <c r="P3" s="32" t="s">
        <v>114</v>
      </c>
    </row>
  </sheetData>
  <printOptions gridLines="1"/>
  <pageMargins left="0.75" right="0.75" top="1" bottom="1" header="0.5" footer="0.5"/>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4"/>
  <sheetViews>
    <sheetView showGridLines="0" view="pageBreakPreview" zoomScale="130" zoomScaleNormal="100" workbookViewId="0">
      <selection activeCell="I15" sqref="I15"/>
    </sheetView>
  </sheetViews>
  <sheetFormatPr defaultColWidth="9" defaultRowHeight="12"/>
  <cols>
    <col min="1" max="1" width="8.14285714285714" style="1" customWidth="1"/>
    <col min="2" max="2" width="25.1142857142857" style="1" customWidth="1"/>
    <col min="3" max="3" width="12.4380952380952" style="1" customWidth="1"/>
    <col min="4" max="4" width="16.3809523809524" style="2" customWidth="1"/>
    <col min="5" max="5" width="13.8571428571429" style="3" customWidth="1"/>
    <col min="6" max="6" width="14.1428571428571" style="3" customWidth="1"/>
    <col min="7" max="7" width="12.1428571428571" style="3" customWidth="1"/>
    <col min="8" max="8" width="14.247619047619" style="1" customWidth="1"/>
    <col min="9" max="9" width="15.2857142857143" style="1" customWidth="1"/>
    <col min="10" max="10" width="15.3047619047619" style="1" customWidth="1"/>
    <col min="11" max="11" width="13" style="1"/>
    <col min="12" max="14" width="12.9904761904762" style="1"/>
    <col min="15" max="17" width="9" style="1"/>
    <col min="18" max="18" width="11.8285714285714" style="1"/>
    <col min="19" max="16384" width="9" style="1"/>
  </cols>
  <sheetData>
    <row r="1" ht="33" customHeight="1" spans="1:14">
      <c r="A1" s="4" t="s">
        <v>167</v>
      </c>
      <c r="B1" s="4"/>
      <c r="C1" s="4"/>
      <c r="D1" s="4"/>
      <c r="E1" s="4"/>
      <c r="F1" s="4"/>
      <c r="G1" s="4"/>
      <c r="H1" s="4"/>
      <c r="I1" s="4"/>
      <c r="J1" s="4"/>
    </row>
    <row r="2" ht="18" customHeight="1" spans="1:14">
      <c r="A2" s="5" t="s">
        <v>168</v>
      </c>
      <c r="B2" s="6"/>
      <c r="C2" s="6"/>
      <c r="D2" s="7"/>
      <c r="E2" s="8"/>
      <c r="F2" s="8"/>
      <c r="G2" s="8"/>
      <c r="H2" s="8"/>
      <c r="I2" s="8"/>
      <c r="J2" s="8"/>
      <c r="M2" s="9"/>
      <c r="N2" s="9"/>
    </row>
    <row r="3" ht="56" customHeight="1" spans="1:14">
      <c r="A3" s="10" t="s">
        <v>29</v>
      </c>
      <c r="B3" s="10" t="s">
        <v>41</v>
      </c>
      <c r="C3" s="10" t="s">
        <v>42</v>
      </c>
      <c r="D3" s="10" t="s">
        <v>43</v>
      </c>
      <c r="E3" s="11" t="s">
        <v>44</v>
      </c>
      <c r="F3" s="11" t="s">
        <v>45</v>
      </c>
      <c r="G3" s="11" t="s">
        <v>46</v>
      </c>
      <c r="H3" s="11" t="s">
        <v>47</v>
      </c>
      <c r="I3" s="11" t="s">
        <v>48</v>
      </c>
      <c r="J3" s="11" t="s">
        <v>34</v>
      </c>
      <c r="K3" s="12">
        <v>0.1918</v>
      </c>
      <c r="L3" s="12"/>
      <c r="M3" s="9"/>
      <c r="N3" s="9"/>
    </row>
    <row r="4" ht="18" customHeight="1" spans="1:14">
      <c r="A4" s="13"/>
      <c r="B4" s="13"/>
      <c r="C4" s="13"/>
      <c r="D4" s="13"/>
      <c r="E4" s="14" t="s">
        <v>49</v>
      </c>
      <c r="F4" s="14" t="s">
        <v>50</v>
      </c>
      <c r="G4" s="14" t="s">
        <v>51</v>
      </c>
      <c r="H4" s="11" t="s">
        <v>52</v>
      </c>
      <c r="I4" s="11" t="s">
        <v>53</v>
      </c>
      <c r="J4" s="11"/>
      <c r="K4" s="1">
        <v>8.6287</v>
      </c>
      <c r="M4" s="9"/>
      <c r="N4" s="9"/>
    </row>
    <row r="5" ht="27" customHeight="1" spans="1:14">
      <c r="A5" s="11">
        <v>1</v>
      </c>
      <c r="B5" s="11" t="s">
        <v>54</v>
      </c>
      <c r="C5" s="11" t="s">
        <v>169</v>
      </c>
      <c r="D5" s="11" t="s">
        <v>56</v>
      </c>
      <c r="E5" s="15">
        <f>8.6287+(15.2411+23.4779)/2</f>
        <v>27.9882</v>
      </c>
      <c r="F5" s="16">
        <v>3870</v>
      </c>
      <c r="G5" s="16">
        <v>-70</v>
      </c>
      <c r="H5" s="16">
        <f t="shared" ref="H5:H14" si="0">F5+G5</f>
        <v>3800</v>
      </c>
      <c r="I5" s="16">
        <f t="shared" ref="I5:I14" si="1">E5*H5</f>
        <v>106355.16</v>
      </c>
      <c r="J5" s="17"/>
    </row>
    <row r="6" ht="27" customHeight="1" spans="1:14">
      <c r="A6" s="11">
        <v>2</v>
      </c>
      <c r="B6" s="11" t="s">
        <v>54</v>
      </c>
      <c r="C6" s="11" t="s">
        <v>169</v>
      </c>
      <c r="D6" s="11" t="s">
        <v>57</v>
      </c>
      <c r="E6" s="15">
        <f>0.0306+(15.2411+23.4779)/2</f>
        <v>19.3901</v>
      </c>
      <c r="F6" s="16">
        <v>3630</v>
      </c>
      <c r="G6" s="16">
        <v>-70</v>
      </c>
      <c r="H6" s="16">
        <f t="shared" si="0"/>
        <v>3560</v>
      </c>
      <c r="I6" s="16">
        <f t="shared" si="1"/>
        <v>69028.756</v>
      </c>
      <c r="J6" s="17"/>
    </row>
    <row r="7" ht="30" customHeight="1" spans="1:14">
      <c r="A7" s="11">
        <v>6</v>
      </c>
      <c r="B7" s="18" t="s">
        <v>58</v>
      </c>
      <c r="C7" s="18" t="s">
        <v>55</v>
      </c>
      <c r="D7" s="18" t="s">
        <v>59</v>
      </c>
      <c r="E7" s="19">
        <f>0.063+0.8497</f>
        <v>0.9127</v>
      </c>
      <c r="F7" s="16">
        <v>3420</v>
      </c>
      <c r="G7" s="16">
        <v>-70</v>
      </c>
      <c r="H7" s="16">
        <f t="shared" si="0"/>
        <v>3350</v>
      </c>
      <c r="I7" s="16">
        <f t="shared" si="1"/>
        <v>3057.545</v>
      </c>
      <c r="J7" s="17"/>
    </row>
    <row r="8" ht="30" customHeight="1" spans="1:14">
      <c r="A8" s="11">
        <v>7</v>
      </c>
      <c r="B8" s="18" t="s">
        <v>58</v>
      </c>
      <c r="C8" s="18" t="s">
        <v>55</v>
      </c>
      <c r="D8" s="18" t="s">
        <v>60</v>
      </c>
      <c r="E8" s="19">
        <v>3.8676</v>
      </c>
      <c r="F8" s="16">
        <v>3400</v>
      </c>
      <c r="G8" s="16">
        <v>-70</v>
      </c>
      <c r="H8" s="16">
        <f t="shared" si="0"/>
        <v>3330</v>
      </c>
      <c r="I8" s="16">
        <f t="shared" si="1"/>
        <v>12879.108</v>
      </c>
      <c r="J8" s="17"/>
    </row>
    <row r="9" ht="30" customHeight="1" spans="1:14">
      <c r="A9" s="11">
        <v>8</v>
      </c>
      <c r="B9" s="18" t="s">
        <v>58</v>
      </c>
      <c r="C9" s="18" t="s">
        <v>55</v>
      </c>
      <c r="D9" s="18" t="s">
        <v>61</v>
      </c>
      <c r="E9" s="19">
        <f>0.0339+0.4077+0.4201+2.2507</f>
        <v>3.1124</v>
      </c>
      <c r="F9" s="16">
        <v>3390</v>
      </c>
      <c r="G9" s="16">
        <v>-70</v>
      </c>
      <c r="H9" s="16">
        <f t="shared" si="0"/>
        <v>3320</v>
      </c>
      <c r="I9" s="16">
        <f t="shared" si="1"/>
        <v>10333.168</v>
      </c>
      <c r="J9" s="17"/>
    </row>
    <row r="10" ht="30" customHeight="1" spans="1:14">
      <c r="A10" s="11">
        <v>9</v>
      </c>
      <c r="B10" s="18" t="s">
        <v>58</v>
      </c>
      <c r="C10" s="18" t="s">
        <v>55</v>
      </c>
      <c r="D10" s="18" t="s">
        <v>62</v>
      </c>
      <c r="E10" s="19">
        <f t="shared" ref="E10:E12" si="2">0.1918/3</f>
        <v>0.0639333333333333</v>
      </c>
      <c r="F10" s="16">
        <v>3340</v>
      </c>
      <c r="G10" s="16">
        <v>-70</v>
      </c>
      <c r="H10" s="16">
        <f t="shared" si="0"/>
        <v>3270</v>
      </c>
      <c r="I10" s="16">
        <f t="shared" si="1"/>
        <v>209.062</v>
      </c>
      <c r="J10" s="17"/>
    </row>
    <row r="11" ht="30" customHeight="1" spans="1:14">
      <c r="A11" s="11">
        <v>10</v>
      </c>
      <c r="B11" s="18" t="s">
        <v>58</v>
      </c>
      <c r="C11" s="18" t="s">
        <v>55</v>
      </c>
      <c r="D11" s="18" t="s">
        <v>63</v>
      </c>
      <c r="E11" s="19">
        <f t="shared" si="2"/>
        <v>0.0639333333333333</v>
      </c>
      <c r="F11" s="16">
        <v>3420</v>
      </c>
      <c r="G11" s="16">
        <v>-70</v>
      </c>
      <c r="H11" s="16">
        <f t="shared" si="0"/>
        <v>3350</v>
      </c>
      <c r="I11" s="16">
        <f t="shared" si="1"/>
        <v>214.176666666667</v>
      </c>
      <c r="J11" s="17"/>
    </row>
    <row r="12" ht="30" customHeight="1" spans="1:14">
      <c r="A12" s="11">
        <v>11</v>
      </c>
      <c r="B12" s="18" t="s">
        <v>58</v>
      </c>
      <c r="C12" s="18" t="s">
        <v>55</v>
      </c>
      <c r="D12" s="18" t="s">
        <v>64</v>
      </c>
      <c r="E12" s="19">
        <f t="shared" si="2"/>
        <v>0.0639333333333333</v>
      </c>
      <c r="F12" s="16">
        <v>3420</v>
      </c>
      <c r="G12" s="16">
        <v>-70</v>
      </c>
      <c r="H12" s="16">
        <f t="shared" si="0"/>
        <v>3350</v>
      </c>
      <c r="I12" s="16">
        <f t="shared" si="1"/>
        <v>214.176666666667</v>
      </c>
      <c r="J12" s="17"/>
    </row>
    <row r="13" ht="30" customHeight="1" spans="1:14">
      <c r="A13" s="11">
        <v>12</v>
      </c>
      <c r="B13" s="18" t="s">
        <v>58</v>
      </c>
      <c r="C13" s="18" t="s">
        <v>55</v>
      </c>
      <c r="D13" s="18" t="s">
        <v>65</v>
      </c>
      <c r="E13" s="19">
        <v>0.798</v>
      </c>
      <c r="F13" s="16">
        <v>3440</v>
      </c>
      <c r="G13" s="16">
        <v>-70</v>
      </c>
      <c r="H13" s="16">
        <f t="shared" si="0"/>
        <v>3370</v>
      </c>
      <c r="I13" s="16">
        <f t="shared" si="1"/>
        <v>2689.26</v>
      </c>
      <c r="J13" s="17"/>
    </row>
    <row r="14" ht="30" customHeight="1" spans="1:14">
      <c r="A14" s="11">
        <v>13</v>
      </c>
      <c r="B14" s="18" t="s">
        <v>58</v>
      </c>
      <c r="C14" s="18" t="s">
        <v>55</v>
      </c>
      <c r="D14" s="18" t="s">
        <v>66</v>
      </c>
      <c r="E14" s="19">
        <v>6.7261</v>
      </c>
      <c r="F14" s="16">
        <v>3520</v>
      </c>
      <c r="G14" s="16">
        <v>-70</v>
      </c>
      <c r="H14" s="16">
        <f t="shared" si="0"/>
        <v>3450</v>
      </c>
      <c r="I14" s="16">
        <f t="shared" si="1"/>
        <v>23205.045</v>
      </c>
      <c r="J14" s="17"/>
    </row>
    <row r="15" ht="22" customHeight="1" spans="1:14">
      <c r="A15" s="11">
        <v>14</v>
      </c>
      <c r="B15" s="20" t="s">
        <v>67</v>
      </c>
      <c r="C15" s="20"/>
      <c r="D15" s="21"/>
      <c r="E15" s="15">
        <f>SUM(E5:E14)</f>
        <v>62.9869</v>
      </c>
      <c r="F15" s="22"/>
      <c r="G15" s="22"/>
      <c r="H15" s="16"/>
      <c r="I15" s="16">
        <f>SUM(I5:I14)</f>
        <v>228185.457333333</v>
      </c>
      <c r="J15" s="23"/>
    </row>
    <row r="16" ht="92" customHeight="1" spans="1:14">
      <c r="A16" s="24" t="s">
        <v>170</v>
      </c>
      <c r="B16" s="25"/>
      <c r="C16" s="25"/>
      <c r="D16" s="25"/>
      <c r="E16" s="25"/>
      <c r="F16" s="25"/>
      <c r="G16" s="25"/>
      <c r="H16" s="25"/>
      <c r="I16" s="25"/>
      <c r="J16" s="25"/>
      <c r="M16" s="1">
        <f>11667*(1-0.23)</f>
        <v>8983.59</v>
      </c>
    </row>
    <row r="18" spans="4:13">
      <c r="D18" s="26"/>
      <c r="L18" s="1">
        <f>11667*0.02</f>
        <v>233.34</v>
      </c>
      <c r="M18" s="1">
        <f>M16*0.88</f>
        <v>7905.5592</v>
      </c>
    </row>
    <row r="19" spans="4:13">
      <c r="G19" s="27">
        <f>G14/F14</f>
        <v>-0.0198863636363636</v>
      </c>
    </row>
    <row r="34" spans="18:18">
      <c r="R34" s="1">
        <f>100000/200</f>
        <v>500</v>
      </c>
    </row>
  </sheetData>
  <mergeCells count="6">
    <mergeCell ref="A1:J1"/>
    <mergeCell ref="A16:J16"/>
    <mergeCell ref="A3:A4"/>
    <mergeCell ref="B3:B4"/>
    <mergeCell ref="C3:C4"/>
    <mergeCell ref="D3:D4"/>
  </mergeCells>
  <printOptions horizontalCentered="1"/>
  <pageMargins left="0.118055555555556" right="0.118055555555556" top="0.594444444444444" bottom="0" header="0.594444444444444" footer="0"/>
  <pageSetup paperSize="9" scale="66" orientation="portrait"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封面</vt:lpstr>
      <vt:lpstr>说明</vt:lpstr>
      <vt:lpstr>封-2 招标控制价封面 (2)</vt:lpstr>
      <vt:lpstr>汇总表</vt:lpstr>
      <vt:lpstr>钢筋清单</vt:lpstr>
      <vt:lpstr>钢筋清单 </vt:lpstr>
      <vt:lpstr>（不打印）标段人材机汇总</vt:lpstr>
      <vt:lpstr>（不打印）电力单位工程人材机汇总</vt:lpstr>
      <vt:lpstr>钢筋清单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dcterms:created xsi:type="dcterms:W3CDTF">2021-11-03T16:39:00Z</dcterms:created>
  <dcterms:modified xsi:type="dcterms:W3CDTF">2026-08-26T07:29:29Z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E2FF7F47F83149C18B91027C5A9667E8_13</vt:lpwstr>
  </property>
  <property fmtid="{D5CDD505-2E9C-101B-9397-08002B2CF9AE}" pid="3" name="KSOProductBuildVer">
    <vt:lpwstr>2052-12.1.0.28043</vt:lpwstr>
  </property>
  <property fmtid="{D5CDD505-2E9C-101B-9397-08002B2CF9AE}" pid="4" name="CalculationRule">
    <vt:i4>0</vt:i4>
  </property>
</Properties>
</file>