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87"/>
  </bookViews>
  <sheets>
    <sheet name="清单预算表" sheetId="26" r:id="rId1"/>
    <sheet name="品牌表" sheetId="28" r:id="rId2"/>
    <sheet name="清单预算表 (2)" sheetId="27" state="hidden" r:id="rId3"/>
  </sheets>
  <definedNames>
    <definedName name="_xlnm._FilterDatabase" localSheetId="0" hidden="1">清单预算表!$A$4:$H$37</definedName>
    <definedName name="_xlnm._FilterDatabase" localSheetId="2" hidden="1">'清单预算表 (2)'!$A$6:$H$309</definedName>
    <definedName name="_xlnm.Print_Area" localSheetId="0">清单预算表!$A$1:$H$34</definedName>
    <definedName name="_xlnm.Print_Titles" localSheetId="0">清单预算表!$1:$4</definedName>
    <definedName name="_xlnm.Print_Area" localSheetId="2">'清单预算表 (2)'!$A$1:$H$309</definedName>
    <definedName name="_xlnm.Print_Titles" localSheetId="2">'清单预算表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<sst xmlns="http://schemas.openxmlformats.org/spreadsheetml/2006/main" count="923" uniqueCount="380">
  <si>
    <t>工程量清单表</t>
  </si>
  <si>
    <t xml:space="preserve">工程名称：茶山办公室室内装修改造及安装工程预算清单                      </t>
  </si>
  <si>
    <t>序号</t>
  </si>
  <si>
    <t>项目名称</t>
  </si>
  <si>
    <t>项目特征描述</t>
  </si>
  <si>
    <t>计量单位</t>
  </si>
  <si>
    <t>工程量</t>
  </si>
  <si>
    <t>综合单价</t>
  </si>
  <si>
    <t>不含税合价
（元）</t>
  </si>
  <si>
    <t>备注</t>
  </si>
  <si>
    <t>一</t>
  </si>
  <si>
    <t>拆除工程</t>
  </si>
  <si>
    <t>办公区拆除工程</t>
  </si>
  <si>
    <t>拆除室外铝合金平开窗</t>
  </si>
  <si>
    <t>1.人工费、机械费
2.人工非保护性拆除</t>
  </si>
  <si>
    <t>m²</t>
  </si>
  <si>
    <t>拆除吊顶灯具电线</t>
  </si>
  <si>
    <t>项</t>
  </si>
  <si>
    <t>拆除插座、窗帘、墙面广告等</t>
  </si>
  <si>
    <t>1.人工费、机械费
2.人工非保护性拆除并装袋</t>
  </si>
  <si>
    <t>铲除墙皮</t>
  </si>
  <si>
    <t>原有地坪漆打磨</t>
  </si>
  <si>
    <t>拆除工程合计：</t>
  </si>
  <si>
    <t>二</t>
  </si>
  <si>
    <t>装修工程</t>
  </si>
  <si>
    <t>自流平地面</t>
  </si>
  <si>
    <t xml:space="preserve">
面饰环氧树脂+微珠超耐面</t>
  </si>
  <si>
    <t>水泥砂浆修补补平处理</t>
  </si>
  <si>
    <t xml:space="preserve">
人工、水泥砂浆修补补平至地面同高</t>
  </si>
  <si>
    <t>木制窗帘盒</t>
  </si>
  <si>
    <t>1.规格：200*200mm窗帘盒
2.30*40阻燃木方骨架
3.9mm厚夹板+9mm厚纸面石膏板基层</t>
  </si>
  <si>
    <t>m</t>
  </si>
  <si>
    <t>窗帘(遮阳布)</t>
  </si>
  <si>
    <t xml:space="preserve">1.遮阳布
2.一个窗户位置双开，只需遮住窗户位置
</t>
  </si>
  <si>
    <t>㎡</t>
  </si>
  <si>
    <t>铝合金固定窗打胶</t>
  </si>
  <si>
    <t>人工和辅材</t>
  </si>
  <si>
    <t>铝合金平开窗</t>
  </si>
  <si>
    <t>50型铝材，5厘钢化单层玻璃</t>
  </si>
  <si>
    <t>雨棚</t>
  </si>
  <si>
    <t>1.8厚镀锌方通框架，表面氟碳漆，5厘钢化夹胶玻璃，飘1.2米宽</t>
  </si>
  <si>
    <t>PT-01 白色乳胶漆</t>
  </si>
  <si>
    <t>1.腻子种类：刮腻子二遍
2.油漆品种、刷漆遍数：面刷白色乳胶漆PT-01，底漆一遍，面漆两遍</t>
  </si>
  <si>
    <t>装饰装修工程合计：</t>
  </si>
  <si>
    <t>三</t>
  </si>
  <si>
    <t>安装工程</t>
  </si>
  <si>
    <t>电气工程</t>
  </si>
  <si>
    <t>强电布线</t>
  </si>
  <si>
    <t xml:space="preserve">1.内容：整个办公室重新布线；
2.电线，线径为2.5mm2和4mm2,普通插座、普通照明为2.5mm2
</t>
  </si>
  <si>
    <t>弱电布线</t>
  </si>
  <si>
    <t>整个办公室弱电布线，不含系统调试</t>
  </si>
  <si>
    <t>LED面板灯、600*600mm</t>
  </si>
  <si>
    <t>1.名称:LED面板灯
2.规格:60W、色温: 4000K
3.安装形式:吊式安装
4.其他:详见物料表</t>
  </si>
  <si>
    <t>套</t>
  </si>
  <si>
    <t>同等价格选样</t>
  </si>
  <si>
    <t>开关插座</t>
  </si>
  <si>
    <t>1.每个工位需安装2个插座
2.安装在办公桌上，不能安装在地面
3.原有插座全部换新</t>
  </si>
  <si>
    <t>安装工程合计：</t>
  </si>
  <si>
    <t>四</t>
  </si>
  <si>
    <t>措施部分</t>
  </si>
  <si>
    <t>成品保护</t>
  </si>
  <si>
    <t>原有办公桌彩条布遮盖</t>
  </si>
  <si>
    <t>赠送</t>
  </si>
  <si>
    <t>拆除垃圾外运</t>
  </si>
  <si>
    <t>1.垃圾装袋、从办公室内电梯搬运一层后外运</t>
  </si>
  <si>
    <t>车</t>
  </si>
  <si>
    <t>措施部分合计：</t>
  </si>
  <si>
    <t>工程总造价（一+二+三+四）</t>
  </si>
  <si>
    <t>含税</t>
  </si>
  <si>
    <t>工程总造价（一+二+三+四）（含税价）</t>
  </si>
  <si>
    <t>主要材料清单品牌详见品牌表</t>
  </si>
  <si>
    <t>主要材料品牌清单表</t>
  </si>
  <si>
    <t>工程名称：新锋燃气贮配站(茶山)室内装修改造及安装工程</t>
  </si>
  <si>
    <t>材料名称</t>
  </si>
  <si>
    <t>品牌</t>
  </si>
  <si>
    <t>砌体</t>
  </si>
  <si>
    <t>普通烧结砖、灰砂砖</t>
  </si>
  <si>
    <t>水泥</t>
  </si>
  <si>
    <t>华润、红荔、海螺、英航</t>
  </si>
  <si>
    <t>大理石</t>
  </si>
  <si>
    <t>东城石材、琪信石业、云浮石材</t>
  </si>
  <si>
    <t>PVC卷材地胶</t>
  </si>
  <si>
    <t>台宝、艾宝龙、大巨龙</t>
  </si>
  <si>
    <t>白色乳胶漆PT01</t>
  </si>
  <si>
    <t>立邦、多乐士、三棵树</t>
  </si>
  <si>
    <t>白色防水乳胶漆PT02</t>
  </si>
  <si>
    <t>304#不锈钢（无指纹）</t>
  </si>
  <si>
    <t>鑫满意不锈钢、瑞科不锈钢、诚信不锈钢</t>
  </si>
  <si>
    <t>铝单板</t>
  </si>
  <si>
    <t>佛山昕泰、佛山中霸、广州豪鼎</t>
  </si>
  <si>
    <t>夹板</t>
  </si>
  <si>
    <t>诺业居、骄安、恒利安、骏丰</t>
  </si>
  <si>
    <t>石膏板</t>
  </si>
  <si>
    <t>泰山、北新、杰森、可耐福</t>
  </si>
  <si>
    <t>地弹簧</t>
  </si>
  <si>
    <t>坚朗、合和、顶固</t>
  </si>
  <si>
    <t>玻璃</t>
  </si>
  <si>
    <t>南玻、信义、台玻</t>
  </si>
  <si>
    <t>电线、电缆</t>
  </si>
  <si>
    <t>南洋、中亚、冠缆、民兴、金龙羽</t>
  </si>
  <si>
    <t>给排水水管</t>
  </si>
  <si>
    <t>南塑、联塑、畅达、日丰</t>
  </si>
  <si>
    <t>开关、插座</t>
  </si>
  <si>
    <t>雷士、罗格朗、佛山照明、德力西</t>
  </si>
  <si>
    <t>灯具</t>
  </si>
  <si>
    <t>佛山照明、威莱登、三雄</t>
  </si>
  <si>
    <t>工程量清单计价表</t>
  </si>
  <si>
    <t>工程名称：金添动漫室内装修改造及安装工程预算清单                           编制日期：2023年09月08日</t>
  </si>
  <si>
    <t>拆除及新建工程</t>
  </si>
  <si>
    <t>首层拆除工程</t>
  </si>
  <si>
    <t>拆除室外钢结构玻璃雨篷</t>
  </si>
  <si>
    <t>拆除入户不锈钢玻璃门、玻璃隔断及门套</t>
  </si>
  <si>
    <t>1.人工费、机械费
2.人工非保护性拆除、含玻璃门上方饰面拆除</t>
  </si>
  <si>
    <t>铲除大厅墙面饰面</t>
  </si>
  <si>
    <t>1.人工费、机械费
2.人工非保护性拆除并装袋、含石材背景墙、硬包、造型框及乳胶漆饰面等墙面</t>
  </si>
  <si>
    <t>拆除前台石材接待台</t>
  </si>
  <si>
    <t>拆除成品木饰面固定柜</t>
  </si>
  <si>
    <t>m2</t>
  </si>
  <si>
    <t>拆除楼梯位石材基座</t>
  </si>
  <si>
    <t>按投影面积计算</t>
  </si>
  <si>
    <t>拆除原有建筑墙体</t>
  </si>
  <si>
    <t>1.人工费、机械费（含门、含墙面饰面拆除）
2.人工非保护性拆除并装袋
3.拆除规格：200mm厚内</t>
  </si>
  <si>
    <t>拆除轻钢龙骨隔墙及玻璃隔断墙</t>
  </si>
  <si>
    <t>1.人工费、机械费
2.人工非保护性拆除、含门、玻璃门、墙造型饰面等</t>
  </si>
  <si>
    <t>铲除保留墙体位饰面</t>
  </si>
  <si>
    <t>1.人工费、机械费
2.人工非保护性拆除、含乳胶漆饰面、造型饰面等</t>
  </si>
  <si>
    <t>拆除轻钢龙骨造型吊顶天花</t>
  </si>
  <si>
    <t>不含钢结构楼板底天花</t>
  </si>
  <si>
    <t>大厅、公区、会议室、总经理室、电梯厅、展示厅</t>
  </si>
  <si>
    <t>夹层拆除工程</t>
  </si>
  <si>
    <t>拆除钢结构楼梯及扶手（共4副）</t>
  </si>
  <si>
    <t>1.人工费、机械费
2.人工非保护性拆除、含栏杆、踏步等拆除</t>
  </si>
  <si>
    <t>按水平投影面积计算</t>
  </si>
  <si>
    <t>拆除钢结构楼板、楼板混凝土及饰面层</t>
  </si>
  <si>
    <t>1.人工费、机械费
2.人工非保护性拆除、含楼承板、钢结构立柱、梁、混凝土及楼板饰面层拆除</t>
  </si>
  <si>
    <t>拆除轻钢龙骨吊顶天花</t>
  </si>
  <si>
    <t>新建工程</t>
  </si>
  <si>
    <t>轻钢龙骨隔墙</t>
  </si>
  <si>
    <t>1.75系列轻钢龙骨结构框架
2.双面单层9mm石膏板基层制作隔墙</t>
  </si>
  <si>
    <t>新砌轻质砖墙（会议室、董事长室）</t>
  </si>
  <si>
    <t>1.新砌轻质砖墙 150mm宽
2.专用水泥砂浆砌筑</t>
  </si>
  <si>
    <t>混凝土过梁</t>
  </si>
  <si>
    <t>1.150mm宽*150mm高混凝土过梁
2.混凝土、钢筋、模板等</t>
  </si>
  <si>
    <t>新建墙体抹灰</t>
  </si>
  <si>
    <t>1、新建墙体1:3水泥砂浆抹灰 20mm厚
2、挂单层钢丝网防止开裂处理</t>
  </si>
  <si>
    <t>不锈钢玻璃隔断墙</t>
  </si>
  <si>
    <t>1.1.2厚深灰色拉丝不锈钢框料、10mm钢化玻璃制作玻璃隔断墙
2.含玻璃隔断下方固定及所需辅材、辅料等</t>
  </si>
  <si>
    <t>10mm钢化玻璃隔断圆弧角处理</t>
  </si>
  <si>
    <t>10mm钢化玻璃隔断圆弧角加工处理</t>
  </si>
  <si>
    <t>个</t>
  </si>
  <si>
    <t>玻璃隔断墙上方假梁</t>
  </si>
  <si>
    <t>1.20*40mm镀锌方通结构框架焊制作框架
2.双面单层9mm石膏板基层制作留玻璃凹槽假梁
3.规格：1500高*100mm宽</t>
  </si>
  <si>
    <t>不锈钢双开玻璃门</t>
  </si>
  <si>
    <t>1.规格：1600*2400mm
2.框材质:黑色拉丝不锈钢边框料
3.玻璃品种、厚度:12mm厚钢化玻璃
4.五金配件:地弹簧、上下玻璃门夹、1.5m不锈钢扶手、普通门锁</t>
  </si>
  <si>
    <t>樘</t>
  </si>
  <si>
    <t>不锈钢单开玻璃门</t>
  </si>
  <si>
    <t>1.规格：900*2400mm
2.框材质:黑色拉丝不锈钢边框料
3.玻璃品种、厚度:12mm厚钢化玻璃
4.五金配件:地弹簧、上下玻璃门夹、1.5m不锈钢扶手、普通门锁</t>
  </si>
  <si>
    <t>大会议室、小会议室</t>
  </si>
  <si>
    <t>地面工程</t>
  </si>
  <si>
    <t>PVC条纹地胶楼地面（含门口地胶）</t>
  </si>
  <si>
    <t>1.保留原有瓷砖楼地面
2.专用胶粘贴
3.面铺贴3mm厚PVC条纹地胶饰面</t>
  </si>
  <si>
    <t>天花工程</t>
  </si>
  <si>
    <t>吊顶天棚-石膏板吊顶天花</t>
  </si>
  <si>
    <t>1.轻钢龙骨结构底架
2.双层9mm纸面石膏板用自攻螺丝与龙骨固定
3.天花开孔：按图纸综合考虑</t>
  </si>
  <si>
    <t>线型灯槽制安</t>
  </si>
  <si>
    <t>1.9厘阻燃夹板制作线型灯弧形凹槽</t>
  </si>
  <si>
    <t>透光软膜安装</t>
  </si>
  <si>
    <t>1.天花安装白色透光软膜、含灯管安装</t>
  </si>
  <si>
    <t>开放办公区44位、经理室、茶水间</t>
  </si>
  <si>
    <t>地坪漆楼地面</t>
  </si>
  <si>
    <t>1.保留原有瓷砖楼地面
2.面饰地坪漆饰面</t>
  </si>
  <si>
    <t>50MM宽划分白色标识线</t>
  </si>
  <si>
    <t>1.50MM宽划分白色标识线、白色涂料</t>
  </si>
  <si>
    <t>吊顶天棚-石膏板吊顶天花(展开面积计算）</t>
  </si>
  <si>
    <t>铝单板吊顶天花</t>
  </si>
  <si>
    <t>1.轻钢龙骨结构底架
2.面安装2.0mm厚铝单板饰面</t>
  </si>
  <si>
    <t>异形透光软膜安装</t>
  </si>
  <si>
    <t>天花安装深灰色拉不锈钢收边处理</t>
  </si>
  <si>
    <t>1.9mm夹板基层
2.面扣深灰色拉不锈钢收边处理
3.展开：50+50+50mm</t>
  </si>
  <si>
    <t>水波纹金属板造型天花（茶水间）</t>
  </si>
  <si>
    <t>1.轻钢龙骨结构底架
2.9mm阻燃夹板基层+面饰水波纹金属板制作造型天花
3.天花开孔：按图纸综合考虑</t>
  </si>
  <si>
    <t>财务办公室</t>
  </si>
  <si>
    <t>董事长办公室</t>
  </si>
  <si>
    <t>总经理办公室</t>
  </si>
  <si>
    <t>开放办公区32位、走道、主管位</t>
  </si>
  <si>
    <t>灰色地坪漆楼地面</t>
  </si>
  <si>
    <t>1.保留原有瓷砖楼地面
2.面饰灰色地坪漆饰面</t>
  </si>
  <si>
    <t>水波纹金属板造型天花</t>
  </si>
  <si>
    <t>电梯厅</t>
  </si>
  <si>
    <t>地坪漆楼地面（黄色、灰色、拼花）</t>
  </si>
  <si>
    <t>1.保留原有瓷砖楼地面
2.面饰地坪漆拼花饰面</t>
  </si>
  <si>
    <t>产品展示区、会议室</t>
  </si>
  <si>
    <t>1.轻钢龙骨结构底架
2.双层9mm纸面石膏板用自攻螺丝与龙骨固定+局部9mm阻燃夹板、中间带凹槽处理
3.天花开孔：按图纸综合考虑</t>
  </si>
  <si>
    <t>PT-03 黄色乳胶漆+PT-02局部黑色乳胶漆</t>
  </si>
  <si>
    <t>1.腻子种类：刮腻子二遍
2.油漆品种、刷漆遍数：面刷PT-03 黄色乳胶漆+PT-02局部黑色乳胶漆，底漆一遍，面漆两遍</t>
  </si>
  <si>
    <t>墙面工程</t>
  </si>
  <si>
    <t>MT-01 成品铝制踢脚线</t>
  </si>
  <si>
    <t>成品铝制饰面(踢脚)50mm高内
1.MT-01铝制踢脚线
2.为完成该项工作内容所需的所有辅助工作请投标人在单价中综合考虑</t>
  </si>
  <si>
    <t>PT-01 墙面白色乳胶漆（3.1m高以下）</t>
  </si>
  <si>
    <t>1.腻子种类：刮腻子三遍
2.油漆品种、刷漆遍数：面刷白色乳胶漆PT-01，底漆一遍，面漆两遍
3.其他技术要求：详见图纸
4.为完成该项工作内容所需的所有辅助工作请投标人在单价中综合考虑</t>
  </si>
  <si>
    <t>PT-03 墙面深灰色乳胶漆（3.1m高以上）</t>
  </si>
  <si>
    <t>1.腻子种类：刮腻子三遍
2.油漆品种、刷漆遍数：面刷深灰色乳胶漆PT-03，底漆一遍，面漆两遍
3.其他技术要求：详见图纸
4.为完成该项工作内容所需的所有辅助工作请投标人在单价中综合考虑</t>
  </si>
  <si>
    <t>成品木质门连成门套</t>
  </si>
  <si>
    <t>1.规格：900*2200mm
2.基层材料种类:实芯木门(三防处理）
3.门套材料品种、规格:成品木质门
4.饰面材料种类: 门扇
5.五金:普通执把手门锁、合页</t>
  </si>
  <si>
    <t>共享招待室2间</t>
  </si>
  <si>
    <t>600*1200 地砖（含门槛瓷砖及幕墙边收口处理）</t>
  </si>
  <si>
    <t>1.10厚灰色地砖（600*1200）,专业美缝剂处理;
2.素水泥一道;
3.6-8厚素水泥浆掺108胶粘接层;
4.20mm1:3干硬性水泥砂浆结合层;
5.为完成该项工作内容所需的所有辅助工作请投标人在单价中综合考虑</t>
  </si>
  <si>
    <t>吊顶天棚-石膏板吊顶天花走边（含幕墙边收口处理）3.3m高</t>
  </si>
  <si>
    <t>1.轻钢龙骨结构底架
2.双层9mm纸面石膏板用自攻螺丝与龙骨固定+局部9mm夹板基层
3.天花开孔：按图纸综合考虑
4.为完成该项工作内容所需的所有辅助工作请投标人在单价中综合考虑</t>
  </si>
  <si>
    <t>PT-03 原顶深灰色乳胶漆（含梁侧面）4.05m</t>
  </si>
  <si>
    <t>1.油漆品种、刷漆遍数：面喷PT-03 深灰色乳胶漆
2.其他技术要求：详见图纸
3.为完成该项工作内容所需的所有辅助工作请投标人在单价中综合考虑</t>
  </si>
  <si>
    <t>不含固定柜背面</t>
  </si>
  <si>
    <t>PT-01 墙面白色乳胶漆</t>
  </si>
  <si>
    <t>免漆板木饰面护墙板墙柱面</t>
  </si>
  <si>
    <t>1.配套龙骨平整墙面
2.9厘阻燃夹板基层
3.面贴木饰面护墙板包墙柱面
4.为完成该项工作内容所需的所有辅助工作请投标人在单价中综合考虑</t>
  </si>
  <si>
    <t>木饰面固定吊柜</t>
  </si>
  <si>
    <t>1.台柜规格:850mm高*350mm深
2.木饰面制作、带层板、带柜门制作</t>
  </si>
  <si>
    <t>乙方预留空位、柜子甲供甲安装</t>
  </si>
  <si>
    <t>木饰面定制矮柜</t>
  </si>
  <si>
    <t>白色磁性钢化玻璃墙面</t>
  </si>
  <si>
    <t>1.9厘阻燃夹板基层
2.面贴6厘白色磁性钢化玻璃墙面
3.为完成该项工作内容所需的所有辅助工作请投标人在单价中综合考虑</t>
  </si>
  <si>
    <t>地弹簧单开玻璃门</t>
  </si>
  <si>
    <t>1.规格：900*2200mm
2.玻璃品种、厚度:10mm厚GL-01透明钢化玻璃
4.五金配件:地弹簧、上下玻璃门夹、1.1m不锈钢扶手、普通门锁</t>
  </si>
  <si>
    <t>大会议室</t>
  </si>
  <si>
    <t>吊顶天棚-石膏板吊顶天花走边（含幕墙边收口处理）3.1m高</t>
  </si>
  <si>
    <t>灰色硬包背景、WP-03</t>
  </si>
  <si>
    <t>1.配套龙骨平整墙面
2.9厘阻燃夹板基层
3.面贴灰色硬包饰面包墙面
4.为完成该项工作内容所需的所有辅助工作请投标人在单价中综合考虑</t>
  </si>
  <si>
    <t>墙面硬包暗门、WP-03</t>
  </si>
  <si>
    <t>1.灰色硬包饰面暗门、900*3100mm
2.龙骨:L50*30*3 镀锌角钢
3.9厘阻燃夹板基层
4.面层:灰色硬包饰面
5.五金配件:天地转轴、暗扣
6.为完成该项工作内容所需的所有辅助工作请投标人在单价中综合考虑</t>
  </si>
  <si>
    <t>墙面黑钛不锈钢装饰MT-05</t>
  </si>
  <si>
    <t>1.磁性钢化玻璃墙面周边安装不锈钢装饰
2.为完成该项工作内容所需的所有辅助工作请投标人在单价中综合考虑</t>
  </si>
  <si>
    <t>墙面黑钛不锈钢装饰条、MT-05</t>
  </si>
  <si>
    <t>1.硬包墙面安装黑钛不锈钢装饰条
2.规格：50mm宽内
3.为完成该项工作内容所需的所有辅助工作请投标人在单价中综合考虑</t>
  </si>
  <si>
    <t>地弹簧双开玻璃门</t>
  </si>
  <si>
    <t>1.规格：1800*2200mm
2.玻璃品种、厚度:10mm厚GL-01透明钢化玻璃
4.五金配件:地弹簧、上下玻璃门夹、1.1m不锈钢扶手、普通门锁</t>
  </si>
  <si>
    <t>办公区1、办公区2</t>
  </si>
  <si>
    <t>600*1200 地砖（幕墙边收口处理）</t>
  </si>
  <si>
    <t>吊顶天棚-局部吊白色铝单板造型天花、AL-01、3.1m高</t>
  </si>
  <si>
    <t>1.角钢结构底架固定天花+专用吊杆+固定件吊装
2.面安装成品订制白色铝单板饰面制作造型天花
3.天花开孔：按图纸综合考虑
4.为完成该项工作内容所需的所有辅助工作请投标人在单价中综合考虑</t>
  </si>
  <si>
    <t>木饰面固定高柜</t>
  </si>
  <si>
    <t>1.台柜规格:3100mm高*350mm深
2.木饰面制作、带层板、带下柜、带柜门、带灯槽制作</t>
  </si>
  <si>
    <t>茶水间</t>
  </si>
  <si>
    <t>600*1200 地砖（含门槛瓷砖）</t>
  </si>
  <si>
    <t>地面防水</t>
  </si>
  <si>
    <t>1.25mm厚1:3水泥砂浆找平（向地漏处找坡）
2.1.2mm聚氨脂防水涂膜两遍
3.为完成该项工作内容所需的所有辅助工作请投标人在单价中综合考虑</t>
  </si>
  <si>
    <t>防水保护层</t>
  </si>
  <si>
    <t>1、10mm厚1:3水泥砂浆防水保护层
2、为完成该项工作内容所需的所有辅助工作请投标人在单价中综合考虑</t>
  </si>
  <si>
    <t>吊顶天棚-石膏板吊顶天花、3m高</t>
  </si>
  <si>
    <t>1.轻钢龙骨结构底架
2.9mm纸面石膏板用自攻螺丝与龙骨固定
3.天花开孔：按图纸综合考虑
4.为完成该项工作内容所需的所有辅助工作请投标人在单价中综合考虑</t>
  </si>
  <si>
    <t>PT-01 白色防水乳胶漆</t>
  </si>
  <si>
    <t>墙面防水、防水1800mm高</t>
  </si>
  <si>
    <t>1.10mm厚1:3水泥砂浆找平（厚度按现场）
2.1.2mm聚氨脂防水涂膜两遍
3.为完成该项工作内容所需的所有辅助工作请投标人在单价中综合考虑</t>
  </si>
  <si>
    <t>CT-01 300*600*10墙面瓷片</t>
  </si>
  <si>
    <t>1.300*600*10墙面瓷片，填缝剂处理;
2.20厚水泥砂浆粘结层,揉挤压实;
3.为完成该项工作内容所需的所有辅助工作请投标人在单价中综合考虑</t>
  </si>
  <si>
    <t>1.台柜规格:1100mm高*300mm深
2.木饰面制作、带层板、带柜门制作</t>
  </si>
  <si>
    <t>木饰面石材茶水矮柜</t>
  </si>
  <si>
    <t>1.台柜规格:800mm高*600mm深
2.木饰面制作、带层板、带柜门制作、含石材台面及挡水线</t>
  </si>
  <si>
    <t>部门经理1、2室</t>
  </si>
  <si>
    <t>吊顶天棚-石膏板吊顶天花走边（含幕墙边收口处理）3.0m高</t>
  </si>
  <si>
    <t>1.台柜规格:3000mm高*350mm深
2.木饰面制作、带层板、带柜门制作</t>
  </si>
  <si>
    <t>会议室</t>
  </si>
  <si>
    <t>布纹墙板背景墙面、WP-02</t>
  </si>
  <si>
    <t>1.配套龙骨平整墙面
2.9厘阻燃夹板基层
3.面贴布纹墙板背景墙面
4.为完成该项工作内容所需的所有辅助工作请投标人在单价中综合考虑</t>
  </si>
  <si>
    <t>机房、配电小间</t>
  </si>
  <si>
    <t>600*600 地砖（含门槛瓷砖及幕墙边收口处理）</t>
  </si>
  <si>
    <t>1.10厚灰色地砖（600*600）,填缝剂处理;
2.素水泥一道;
3.6-8厚素水泥浆掺108胶粘接层;
4.20mm1:3干硬性水泥砂浆结合层;
5.为完成该项工作内容所需的所有辅助工作请投标人在单价中综合考虑</t>
  </si>
  <si>
    <t>1.规格：1200*2200mm
2.基层材料种类:实芯木门(三防处理）
3.门套材料品种、规格:成品木质门
4.饰面材料种类: 门扇
5.五金:普通执把手门锁、合页</t>
  </si>
  <si>
    <t>成品木质门连成门套（配电房门）</t>
  </si>
  <si>
    <t>咖啡吧</t>
  </si>
  <si>
    <t>鱼骨纹木地板安装WF-01（含幕墙边收口处理）</t>
  </si>
  <si>
    <t>1.地面刷界面剂、35mm厚1：2.5mm水泥砂浆找平处理
2.地面防潮处理
3.面贴鱼骨纹木地板安装
4.为完成该项工作内容所需的所有辅助工作请投标人在单价中综合考虑</t>
  </si>
  <si>
    <t>铝合金装饰条收口</t>
  </si>
  <si>
    <t>1.成品合合金装饰条
2.木地板与瓷砖位交接处
3.为完成该项工作内容所需的所有辅助工作请投标人在单价中综合考虑</t>
  </si>
  <si>
    <t>吊顶天棚-石膏板造型天花（局部弧形）3.0m</t>
  </si>
  <si>
    <t>1.台柜规格:3000mm高*350mm深
2.木饰面制作、带层板、带下柜、带柜门制作</t>
  </si>
  <si>
    <t>1.台柜规格:3000mm高*750mm深
2.木饰面制作、带层板、带下柜、带柜门制作</t>
  </si>
  <si>
    <t>DDC档案室</t>
  </si>
  <si>
    <t>卫生间及前室</t>
  </si>
  <si>
    <t>300*300mm 地砖（含门槛瓷砖及幕墙边收口处理）</t>
  </si>
  <si>
    <t>1.10厚防滑地砖（300*300mm）工字缝铺贴，填缝剂处理;
2.素水泥一道;
3.6-8厚素水泥浆掺108胶粘接层;
4.20mm1:3干硬性水泥砂浆结合层;
5.为完成该项工作内容所需的所有辅助工作请投标人在单价中综合考虑</t>
  </si>
  <si>
    <t>卫生间回填(男、女、残卫）</t>
  </si>
  <si>
    <t>1.陶粒混凝土回填抬高、300mm高内
2.水泥砂浆找平楼地面
3.为完成该项工作内容所需的所有辅助工作请投标人在单价中综合考虑</t>
  </si>
  <si>
    <t>卫生间蹲厕位抬高</t>
  </si>
  <si>
    <t>1.陶粒混凝土回填抬高、120mm高
2.水泥砂浆找平楼地面
3.为完成该项工作内容所需的所有辅助工作请投标人在单价中综合考虑</t>
  </si>
  <si>
    <t>铝扣板、3.0m高</t>
  </si>
  <si>
    <t>1.轻钢龙骨结构底架
2.成品0.5厚300*600mm铝扣板饰面
3.为完成该项工作内容所需的所有辅助工作请投标人在单价中综合考虑</t>
  </si>
  <si>
    <t>纤维金属板水井暗门</t>
  </si>
  <si>
    <t>1.水井暗门、金属板墙面暗门、600*2100mm
2.龙骨:50*30*3 镀锌角钢
3.面层:金属板（拉银丝）饰面、MT-01
4.五金配件:天地转轴、暗扣
3.为完成该项工作内容所需的所有辅助工作请投标人在单价中综合考虑</t>
  </si>
  <si>
    <t>取消暗门，保留原有水井门</t>
  </si>
  <si>
    <t>免漆板木饰面护墙板隔断墙、WD-01</t>
  </si>
  <si>
    <t>1.镀锌角钢结构框架
2.双面9厘阻燃夹板基层
3.双面贴免漆板木饰面护墙板制作隔断墙面
4.为完成该项工作内容所需的所有辅助工作请投标人在单价中综合考虑</t>
  </si>
  <si>
    <t>卫生间成品隔断、高度2m（含尿斗隔断）</t>
  </si>
  <si>
    <t>1.安装卫生间成品抗倍特防潮隔断板
2.含隔断门、门锁、合页等五金配件
3.为完成该项工作内容所需的所有辅助工作请投标人在单价中综合考虑</t>
  </si>
  <si>
    <t>人造石洗手台ST-04</t>
  </si>
  <si>
    <t>1.规格：1980长*550宽*350mm高
2.镀锌钢材焊接钢架，人造石台面、台边，含开洗手盆位孔
3.为完成该项工作内容所需的所有辅助工作请投标人在单价中综合考虑</t>
  </si>
  <si>
    <t>卫生间银镜</t>
  </si>
  <si>
    <t>1.尺寸：1000高*100mm厚
2.木龙骨结构底架+阻燃夹板基层+中间6mm防雾银镜+周边黑色不锈钢收边处理、带灯槽制作
3.为完成该项工作内容所需的所有辅助工作请投标人在单价中综合考虑</t>
  </si>
  <si>
    <t>1.规格：800*2200mm
2.基层材料种类:实芯木门(三防处理）
3.门套材料品种、规格:成品木质门
4.饰面材料种类: 门扇
5.五金:普通执把手门锁、合页</t>
  </si>
  <si>
    <t>接待大厅、电梯厅及公共走道</t>
  </si>
  <si>
    <t>吊顶天棚-纤维金属板（拉丝银）造型天花、MT-01、3.1m</t>
  </si>
  <si>
    <t>1.轻钢龙骨结构底架
2.12mm阻燃夹板基层+面饰金属板（拉丝银）造型天花
3.天花开孔：按图纸综合考虑
4.为完成该项工作内容所需的所有辅助工作请投标人在单价中综合考虑</t>
  </si>
  <si>
    <t>造型灯槽、3.2m</t>
  </si>
  <si>
    <t>1.夹板条打底
2.9mm厚夹板+9mm厚纸面石膏板基层
3.为完成该项工作内容所需的所有辅助工作请投标人在单价中综合考虑
4.规格：200mm高*200mm宽</t>
  </si>
  <si>
    <t>吊顶天棚-灰镜钢造型天花、MT-02、3.1m</t>
  </si>
  <si>
    <t>1.轻钢龙骨结构底架
2.15mm阻燃夹板基层+灰镜钢造型天花
3.天花开孔：按图纸综合考虑
4.为完成该项工作内容所需的所有辅助工作请投标人在单价中综合考虑</t>
  </si>
  <si>
    <t>吊顶天棚-石膏板造型天花（电梯厅）、3.1m</t>
  </si>
  <si>
    <t>墙面纤维金属板（白色）饰面、MT-04</t>
  </si>
  <si>
    <t>1.配套木方龙骨结构底架平整墙面
2.9厘阻燃夹板基层
3.面贴金属板饰面制作墙面
4.为完成该项工作内容所需的所有辅助工作请投标人在单价中综合考虑</t>
  </si>
  <si>
    <t>金属板强电井暗门、MT-04</t>
  </si>
  <si>
    <t>1.强电井暗门、金属板墙面暗门、600*2100mm
2.龙骨:50*30*3 镀锌角钢、9mm阻燃夹板基层
3.面层:金属板（白色）饰面、MT-04
4.五金配件:天地转轴、暗扣
3.为完成该项工作内容所需的所有辅助工作请投标人在单价中综合考虑</t>
  </si>
  <si>
    <t>墙面纤维金属板（拉银丝）饰面、MT-01</t>
  </si>
  <si>
    <t>纤维金属板隐形门、MT-01</t>
  </si>
  <si>
    <t>1.隐形暗门、金属板墙面暗门、1200*2400mm
2.龙骨:50*30*3 镀锌角钢、9mm阻燃夹板基层
3.面层:金属板（拉银丝）饰面、MT-01
4.五金配件:天地转轴、暗扣
3.为完成该项工作内容所需的所有辅助工作请投标人在单价中综合考虑</t>
  </si>
  <si>
    <t>1.隐形暗门、金属板墙面暗门、1500*2400mm
2.龙骨:50*30*3 镀锌角钢、9mm阻燃夹板基层
3.面层:金属板（拉银丝）饰面、MT-01
4.五金配件:天地转轴、暗扣
3.为完成该项工作内容所需的所有辅助工作请投标人在单价中综合考虑</t>
  </si>
  <si>
    <t>纤维金属板强电井暗门、MT-01</t>
  </si>
  <si>
    <t>1.强电井暗门、金属板墙面暗门、600*2100mm
2.龙骨:50*30*3 镀锌角钢、9mm阻燃夹板基层
3.面层:金属板（白色）饰面、MT-01
4.五金配件:天地转轴、暗扣
3.为完成该项工作内容所需的所有辅助工作请投标人在单价中综合考虑</t>
  </si>
  <si>
    <t>墙面纤维金属板造型墙面（拉银丝）饰面、MT-01（带灯槽）</t>
  </si>
  <si>
    <t>1.配套木方龙骨结构底架平整墙面
2.9厘阻燃夹板基层
3.面贴金属板饰面制作造型墙面、内嵌线性条、开线性灯槽处理，安装亚克力透光片等
4.为完成该项工作内容所需的所有辅助工作请投标人在单价中综合考虑</t>
  </si>
  <si>
    <t>冲孔铝板造型墙面（深灰色、AL-02）</t>
  </si>
  <si>
    <t>1.40*40*3mm镀锌方通结构底架、专用固定件固定
2.面安装冲孔铝板制造背景墙面、含内部光源安装
3.为完成该项工作内容所需的所有辅助工作请投标人在单价中综合考虑</t>
  </si>
  <si>
    <t>攀岩造型墙面</t>
  </si>
  <si>
    <t>1.专业定制</t>
  </si>
  <si>
    <t>由专业厂家订制及安装</t>
  </si>
  <si>
    <t>金属板（拉银丝）门窗套（电梯门套、门头）</t>
  </si>
  <si>
    <t>1.部位:电梯门套
2.龙骨材料种类:木方结构底架
3.基层材料种类:9mm阻燃夹板基层
4.面层材料品种、规格:金属板（拉银丝）饰面、MT-01
5.为完成该项工作内容所需的所有辅助工作请投标人在单价中综合考虑</t>
  </si>
  <si>
    <t>人造石造型服务台制安ST-04</t>
  </si>
  <si>
    <t>1.木龙骨结构框架+15mm夹板基层
2.台面、侧面人造石饰面+木饰面柜体制作
3.规格：6000*800*1050mm
4.为完成该项工作内容所需的所有辅助工作请投标人在单价中综合考虑</t>
  </si>
  <si>
    <t>甲级双开防火门</t>
  </si>
  <si>
    <t>1.成品订购
2.门代号及洞口尺寸:1500*2400mm
3.其它:含所需配件</t>
  </si>
  <si>
    <t>1.规格：1500*2200mm
2.框材质:黑色拉丝不锈钢边框料
3.玻璃品种、厚度:12mm厚GL-02喷砂钢化玻璃
4.五金配件:地弹簧、上下玻璃门夹、1.5m不锈钢扶手、普通门锁</t>
  </si>
  <si>
    <t>强电安装</t>
  </si>
  <si>
    <t>1.内容：(含布电源线管、电源线电线、开关插座、底盒及相关配件)
2.电线，线径为2.5mm2和4mm2,普通插座、普通照明为2.5mm2</t>
  </si>
  <si>
    <t>给排水安装</t>
  </si>
  <si>
    <t>1.给排水管安装、小角阀、下水器、软管、相关零配件</t>
  </si>
  <si>
    <t>成品电箱（总）</t>
  </si>
  <si>
    <t>1.成套配电箱订制
2.参考系统图配置</t>
  </si>
  <si>
    <t>筒灯</t>
  </si>
  <si>
    <t>1.名称:筒灯
2.规格:6W\3000K
3.安装形式:嵌入式安装
4.其他:详见物料表</t>
  </si>
  <si>
    <t>射灯</t>
  </si>
  <si>
    <t>1.名称:射灯
2.规格:6W\3000K
3.安装形式:嵌入式安装
4.其他:详见物料表</t>
  </si>
  <si>
    <t>300*600灯盘</t>
  </si>
  <si>
    <t>1.名称:300*600灯盘
2.规格:36w
3.安装形式:嵌入式安装
4.其他:详见物料表</t>
  </si>
  <si>
    <t>单头斗胆灯</t>
  </si>
  <si>
    <t>1.名称:单头斗胆灯
2.规格:6W\3000K
3.安装形式:嵌入式安装
4.其他:详见物料表</t>
  </si>
  <si>
    <t>吊线面板灯、120*1200mm</t>
  </si>
  <si>
    <t>1.名称:吊线面板灯
2.规格:
3.安装形式:吊式安装
4.其他:详见物料表</t>
  </si>
  <si>
    <t>环形吊线灯、直径600</t>
  </si>
  <si>
    <t>1.名称:吊线面板灯
2.规格:
3.安装形式:吊入式安装
4.其他:详见物料表</t>
  </si>
  <si>
    <t>环形吊线灯、直径760</t>
  </si>
  <si>
    <t>环形吊线灯、直径1580</t>
  </si>
  <si>
    <t>吸顶灯</t>
  </si>
  <si>
    <t>1.名称:吸顶灯
2.规格:10W\3000K
3.安装形式:嵌入式安装
4.其他:详见物料表</t>
  </si>
  <si>
    <t>灯带</t>
  </si>
  <si>
    <t>1.名称:灯带
2.规格:9.5W\3000K/
3.安装形式:嵌入式安装
4.其他:详见物料表</t>
  </si>
  <si>
    <t>洗手盆（台下盆）</t>
  </si>
  <si>
    <t>1.名称：洗手盆（台下盆）
2.规格型号：CCAS0470-1000420C1</t>
  </si>
  <si>
    <t>品牌：美标</t>
  </si>
  <si>
    <t>洗手盆龙头</t>
  </si>
  <si>
    <t>1.名称：洗手盆龙头
2.规格型号：FFASB201-101500BC0</t>
  </si>
  <si>
    <t>不锈钢双盆</t>
  </si>
  <si>
    <t>1.名称：不锈钢双盆
2.规格型号：FFASX102-602B50BC5</t>
  </si>
  <si>
    <t>厨盆龙头</t>
  </si>
  <si>
    <t>1.名称：厨盆龙头
2.规格型号：FFAS5623-5015L0BC0</t>
  </si>
  <si>
    <t>蹲便器(含水箱）</t>
  </si>
  <si>
    <t>1.名称：蹲便器(含水箱）
2.规格型号：CCAS8009-0900400C0</t>
  </si>
  <si>
    <t>尿斗</t>
  </si>
  <si>
    <t xml:space="preserve">1.名称：手动尿斗
2.规格型号：CCAS6737-3210410C1 </t>
  </si>
  <si>
    <t>坐便器</t>
  </si>
  <si>
    <t>1.名称：坐便器
2.规格型号民：CCAS1836-1120401C0</t>
  </si>
  <si>
    <t>拖把池</t>
  </si>
  <si>
    <t>1.名称：托把池
2.规格型号：CCASF207-1000410C0</t>
  </si>
  <si>
    <t>地漏</t>
  </si>
  <si>
    <t>1.名称：地漏
2.规格型号：FFAS9202-101500BC0</t>
  </si>
  <si>
    <t>其他部分</t>
  </si>
  <si>
    <t>满堂脚手架</t>
  </si>
  <si>
    <t>1.综合钢脚手架
2.搭设高度10米内</t>
  </si>
  <si>
    <t>m³</t>
  </si>
  <si>
    <t>竣工验收精保洁费用</t>
  </si>
  <si>
    <t>1.完工后精保洁
2.垃圾清理及外运，运距10KM</t>
  </si>
  <si>
    <t>工程总造价（一+二+三）</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</si>
</sst>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 numFmtId="179" formatCode="0.00_ ;[Red]\-0.00\ "/>
  </numFmts>
  <fonts count="44">
    <font>
      <sz val="11"/>
      <color theme="1"/>
      <name val="宋体"/>
      <charset val="134"/>
      <scheme val="minor"/>
    </font>
    <font>
      <sz val="11"/>
      <name val="宋体"/>
      <charset val="134"/>
      <scheme val="minor"/>
    </font>
    <font>
      <sz val="11"/>
      <color rgb="FFFF0000"/>
      <name val="宋体"/>
      <charset val="134"/>
      <scheme val="minor"/>
    </font>
    <font>
      <strike/>
      <sz val="11"/>
      <color rgb="FFFF0000"/>
      <name val="宋体"/>
      <charset val="134"/>
    </font>
    <font>
      <sz val="11"/>
      <color rgb="FF00B050"/>
      <name val="宋体"/>
      <charset val="134"/>
      <scheme val="minor"/>
    </font>
    <font>
      <b/>
      <sz val="11"/>
      <color theme="1"/>
      <name val="宋体"/>
      <charset val="134"/>
      <scheme val="minor"/>
    </font>
    <font>
      <sz val="10"/>
      <name val="宋体"/>
      <charset val="134"/>
      <scheme val="minor"/>
    </font>
    <font>
      <b/>
      <sz val="18"/>
      <name val="黑体"/>
      <charset val="134"/>
    </font>
    <font>
      <b/>
      <sz val="10"/>
      <name val="黑体"/>
      <charset val="134"/>
    </font>
    <font>
      <sz val="10"/>
      <name val="宋体"/>
      <charset val="134"/>
    </font>
    <font>
      <b/>
      <sz val="10"/>
      <name val="宋体"/>
      <charset val="134"/>
    </font>
    <font>
      <b/>
      <sz val="10"/>
      <name val="宋体"/>
      <charset val="134"/>
      <scheme val="minor"/>
    </font>
    <font>
      <sz val="10"/>
      <color rgb="FFFF0000"/>
      <name val="宋体"/>
      <charset val="134"/>
    </font>
    <font>
      <sz val="10"/>
      <color rgb="FFFF0000"/>
      <name val="宋体"/>
      <charset val="134"/>
      <scheme val="minor"/>
    </font>
    <font>
      <strike/>
      <sz val="10"/>
      <name val="宋体"/>
      <charset val="134"/>
    </font>
    <font>
      <sz val="10"/>
      <name val="SimSun"/>
      <charset val="134"/>
    </font>
    <font>
      <sz val="12"/>
      <name val="宋体"/>
      <charset val="134"/>
    </font>
    <font>
      <sz val="10.5"/>
      <name val="宋体"/>
      <charset val="134"/>
    </font>
    <font>
      <b/>
      <sz val="11"/>
      <name val="楷体_GB2312"/>
      <charset val="134"/>
    </font>
    <font>
      <b/>
      <sz val="11"/>
      <name val="宋体"/>
      <charset val="134"/>
      <scheme val="minor"/>
    </font>
    <font>
      <sz val="10"/>
      <color rgb="FF000000"/>
      <name val="宋体"/>
      <charset val="134"/>
    </font>
    <font>
      <sz val="10"/>
      <color rgb="FF000000"/>
      <name val="宋体"/>
      <charset val="134"/>
      <scheme val="minor"/>
    </font>
    <font>
      <sz val="10"/>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1"/>
      <color indexed="8"/>
      <name val="宋体"/>
      <charset val="134"/>
    </font>
  </fonts>
  <fills count="35">
    <fill>
      <patternFill patternType="none"/>
    </fill>
    <fill>
      <patternFill patternType="gray125"/>
    </fill>
    <fill>
      <patternFill patternType="solid">
        <fgColor theme="0" tint="-0.15"/>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30" fillId="0" borderId="5" applyNumberFormat="0" applyFill="0" applyAlignment="0" applyProtection="0">
      <alignment vertical="center"/>
    </xf>
    <xf numFmtId="0" fontId="30" fillId="0" borderId="0" applyNumberFormat="0" applyFill="0" applyBorder="0" applyAlignment="0" applyProtection="0">
      <alignment vertical="center"/>
    </xf>
    <xf numFmtId="0" fontId="31" fillId="5" borderId="6" applyNumberFormat="0" applyAlignment="0" applyProtection="0">
      <alignment vertical="center"/>
    </xf>
    <xf numFmtId="0" fontId="32" fillId="6" borderId="7" applyNumberFormat="0" applyAlignment="0" applyProtection="0">
      <alignment vertical="center"/>
    </xf>
    <xf numFmtId="0" fontId="33" fillId="6" borderId="6" applyNumberFormat="0" applyAlignment="0" applyProtection="0">
      <alignment vertical="center"/>
    </xf>
    <xf numFmtId="0" fontId="34" fillId="7" borderId="8" applyNumberFormat="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6" fillId="0" borderId="0">
      <alignment vertical="center"/>
    </xf>
    <xf numFmtId="0" fontId="42" fillId="0" borderId="0"/>
    <xf numFmtId="0" fontId="42" fillId="0" borderId="0"/>
    <xf numFmtId="0" fontId="16" fillId="0" borderId="0">
      <alignment vertical="center"/>
    </xf>
    <xf numFmtId="0" fontId="43" fillId="0" borderId="0" applyProtection="0">
      <alignment vertical="center"/>
    </xf>
    <xf numFmtId="0" fontId="16" fillId="0" borderId="0">
      <alignment vertical="center"/>
    </xf>
    <xf numFmtId="0" fontId="16" fillId="0" borderId="0">
      <alignment vertical="center"/>
    </xf>
  </cellStyleXfs>
  <cellXfs count="110">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0" fillId="0" borderId="0" xfId="0" applyFont="1">
      <alignment vertical="center"/>
    </xf>
    <xf numFmtId="0" fontId="3" fillId="0" borderId="0" xfId="0" applyFont="1" applyFill="1">
      <alignment vertical="center"/>
    </xf>
    <xf numFmtId="0" fontId="4" fillId="0" borderId="0" xfId="0" applyFont="1" applyFill="1">
      <alignment vertical="center"/>
    </xf>
    <xf numFmtId="0" fontId="4" fillId="0" borderId="0" xfId="0" applyFont="1">
      <alignment vertical="center"/>
    </xf>
    <xf numFmtId="0" fontId="3" fillId="0" borderId="0" xfId="0" applyFont="1">
      <alignment vertical="center"/>
    </xf>
    <xf numFmtId="0" fontId="5" fillId="2" borderId="0" xfId="0" applyFont="1" applyFill="1">
      <alignment vertical="center"/>
    </xf>
    <xf numFmtId="176" fontId="6" fillId="0" borderId="0" xfId="0" applyNumberFormat="1" applyFont="1" applyFill="1" applyBorder="1" applyAlignment="1">
      <alignment vertical="center"/>
    </xf>
    <xf numFmtId="0" fontId="6" fillId="0" borderId="0" xfId="0" applyFont="1" applyFill="1" applyBorder="1" applyAlignment="1">
      <alignment vertical="center"/>
    </xf>
    <xf numFmtId="177" fontId="6" fillId="0" borderId="0" xfId="0" applyNumberFormat="1" applyFont="1" applyFill="1" applyBorder="1" applyAlignment="1">
      <alignment vertical="center"/>
    </xf>
    <xf numFmtId="178" fontId="6" fillId="0" borderId="0" xfId="0" applyNumberFormat="1" applyFont="1" applyFill="1" applyBorder="1" applyAlignment="1">
      <alignment horizontal="center" vertical="center"/>
    </xf>
    <xf numFmtId="177" fontId="6" fillId="0" borderId="0" xfId="0" applyNumberFormat="1" applyFont="1" applyFill="1" applyBorder="1" applyAlignment="1" applyProtection="1">
      <alignment horizontal="center" vertical="center"/>
      <protection locked="0"/>
    </xf>
    <xf numFmtId="177" fontId="6" fillId="0" borderId="0" xfId="0" applyNumberFormat="1" applyFont="1" applyFill="1" applyBorder="1" applyAlignment="1" applyProtection="1">
      <alignment vertical="center"/>
      <protection locked="0"/>
    </xf>
    <xf numFmtId="176" fontId="7" fillId="0" borderId="0" xfId="0" applyNumberFormat="1"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wrapText="1"/>
      <protection locked="0"/>
    </xf>
    <xf numFmtId="177" fontId="7" fillId="0" borderId="0" xfId="0" applyNumberFormat="1" applyFont="1" applyFill="1" applyBorder="1" applyAlignment="1" applyProtection="1">
      <alignment horizontal="center" vertical="center" wrapText="1"/>
      <protection locked="0"/>
    </xf>
    <xf numFmtId="178" fontId="7" fillId="0" borderId="0" xfId="0" applyNumberFormat="1" applyFont="1" applyFill="1" applyBorder="1" applyAlignment="1" applyProtection="1">
      <alignment horizontal="center" vertical="center" wrapText="1"/>
      <protection locked="0"/>
    </xf>
    <xf numFmtId="0" fontId="8" fillId="0" borderId="1" xfId="52" applyNumberFormat="1" applyFont="1" applyFill="1" applyBorder="1" applyAlignment="1"/>
    <xf numFmtId="178" fontId="8" fillId="0" borderId="1" xfId="52" applyNumberFormat="1" applyFont="1" applyFill="1" applyBorder="1" applyAlignment="1">
      <alignment horizontal="center"/>
    </xf>
    <xf numFmtId="177" fontId="9" fillId="0" borderId="0" xfId="0" applyNumberFormat="1" applyFont="1" applyFill="1" applyBorder="1" applyAlignment="1" applyProtection="1">
      <alignment horizontal="center" vertical="center"/>
      <protection locked="0"/>
    </xf>
    <xf numFmtId="176" fontId="9" fillId="0" borderId="2" xfId="51" applyNumberFormat="1" applyFont="1" applyFill="1" applyBorder="1" applyAlignment="1" applyProtection="1">
      <alignment horizontal="center" vertical="center" wrapText="1"/>
      <protection locked="0"/>
    </xf>
    <xf numFmtId="0" fontId="9" fillId="0" borderId="2" xfId="51" applyFont="1" applyFill="1" applyBorder="1" applyAlignment="1" applyProtection="1">
      <alignment horizontal="center" vertical="center" wrapText="1"/>
      <protection locked="0"/>
    </xf>
    <xf numFmtId="177" fontId="9" fillId="0" borderId="2" xfId="51" applyNumberFormat="1" applyFont="1" applyFill="1" applyBorder="1" applyAlignment="1" applyProtection="1">
      <alignment horizontal="center" vertical="center" wrapText="1"/>
      <protection locked="0"/>
    </xf>
    <xf numFmtId="178" fontId="9" fillId="0" borderId="2" xfId="0" applyNumberFormat="1" applyFont="1" applyFill="1" applyBorder="1" applyAlignment="1" applyProtection="1">
      <alignment horizontal="center" vertical="center" wrapText="1"/>
      <protection locked="0"/>
    </xf>
    <xf numFmtId="177" fontId="9" fillId="0" borderId="2" xfId="0" applyNumberFormat="1" applyFont="1" applyFill="1" applyBorder="1" applyAlignment="1" applyProtection="1">
      <alignment horizontal="center" vertical="center" wrapText="1"/>
      <protection locked="0"/>
    </xf>
    <xf numFmtId="176" fontId="10" fillId="0"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43" fontId="10" fillId="0" borderId="2" xfId="0" applyNumberFormat="1" applyFont="1" applyFill="1" applyBorder="1" applyAlignment="1" applyProtection="1">
      <alignment horizontal="center" vertical="center" wrapText="1"/>
    </xf>
    <xf numFmtId="177" fontId="10" fillId="0" borderId="2" xfId="0" applyNumberFormat="1" applyFont="1" applyFill="1" applyBorder="1" applyAlignment="1" applyProtection="1">
      <alignment horizontal="center" vertical="center" wrapText="1"/>
    </xf>
    <xf numFmtId="178" fontId="10" fillId="0" borderId="2" xfId="0" applyNumberFormat="1"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protection locked="0"/>
    </xf>
    <xf numFmtId="177" fontId="11" fillId="0" borderId="2" xfId="0" applyNumberFormat="1" applyFont="1" applyFill="1" applyBorder="1" applyAlignment="1" applyProtection="1">
      <alignment vertical="center"/>
      <protection locked="0"/>
    </xf>
    <xf numFmtId="176" fontId="9" fillId="0" borderId="2"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0" fontId="9" fillId="0" borderId="2" xfId="0" applyFont="1" applyFill="1" applyBorder="1" applyAlignment="1" applyProtection="1">
      <alignment horizontal="center" vertical="center" wrapText="1"/>
    </xf>
    <xf numFmtId="177" fontId="9" fillId="0" borderId="2" xfId="0" applyNumberFormat="1" applyFont="1" applyFill="1" applyBorder="1" applyAlignment="1" applyProtection="1">
      <alignment horizontal="center" vertical="center" wrapText="1"/>
    </xf>
    <xf numFmtId="178" fontId="9" fillId="0" borderId="2" xfId="0" applyNumberFormat="1" applyFont="1" applyFill="1" applyBorder="1" applyAlignment="1" applyProtection="1">
      <alignment horizontal="center" vertical="center" wrapText="1"/>
    </xf>
    <xf numFmtId="177" fontId="6" fillId="0" borderId="2" xfId="0" applyNumberFormat="1" applyFont="1" applyFill="1" applyBorder="1" applyAlignment="1" applyProtection="1">
      <alignment vertical="center"/>
      <protection locked="0"/>
    </xf>
    <xf numFmtId="176" fontId="12" fillId="0" borderId="2" xfId="0" applyNumberFormat="1" applyFont="1" applyFill="1" applyBorder="1" applyAlignment="1" applyProtection="1">
      <alignment horizontal="center" vertical="center" wrapText="1"/>
    </xf>
    <xf numFmtId="0" fontId="12" fillId="0" borderId="2" xfId="0" applyFont="1" applyFill="1" applyBorder="1" applyAlignment="1" applyProtection="1">
      <alignment horizontal="left" vertical="center" wrapText="1"/>
    </xf>
    <xf numFmtId="43" fontId="12" fillId="0" borderId="2" xfId="0" applyNumberFormat="1" applyFont="1" applyFill="1" applyBorder="1" applyAlignment="1" applyProtection="1">
      <alignment horizontal="center" vertical="center" wrapText="1"/>
    </xf>
    <xf numFmtId="177" fontId="12" fillId="0" borderId="2" xfId="0" applyNumberFormat="1" applyFont="1" applyFill="1" applyBorder="1" applyAlignment="1" applyProtection="1">
      <alignment horizontal="center" vertical="center" wrapText="1"/>
    </xf>
    <xf numFmtId="177" fontId="12" fillId="0" borderId="2" xfId="0" applyNumberFormat="1" applyFont="1" applyFill="1" applyBorder="1" applyAlignment="1" applyProtection="1">
      <alignment horizontal="right" vertical="center" wrapText="1"/>
      <protection locked="0"/>
    </xf>
    <xf numFmtId="177" fontId="13" fillId="0" borderId="2" xfId="0" applyNumberFormat="1" applyFont="1" applyFill="1" applyBorder="1" applyAlignment="1" applyProtection="1">
      <alignment vertical="center"/>
      <protection locked="0"/>
    </xf>
    <xf numFmtId="177" fontId="13" fillId="0" borderId="2" xfId="0" applyNumberFormat="1" applyFont="1" applyFill="1" applyBorder="1" applyAlignment="1" applyProtection="1">
      <alignment vertical="center" wrapText="1"/>
      <protection locked="0"/>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12" fillId="0" borderId="2" xfId="51" applyFont="1" applyFill="1" applyBorder="1" applyAlignment="1">
      <alignment horizontal="left" vertical="center" wrapText="1"/>
    </xf>
    <xf numFmtId="0" fontId="12" fillId="0" borderId="2" xfId="0" applyFont="1" applyFill="1" applyBorder="1" applyAlignment="1" applyProtection="1">
      <alignment horizontal="center" vertical="center" wrapText="1"/>
    </xf>
    <xf numFmtId="177" fontId="12" fillId="0" borderId="2" xfId="51" applyNumberFormat="1" applyFont="1" applyFill="1" applyBorder="1" applyAlignment="1">
      <alignment horizontal="center" vertical="center" wrapText="1"/>
    </xf>
    <xf numFmtId="0" fontId="12" fillId="0" borderId="2" xfId="51" applyFont="1" applyFill="1" applyBorder="1" applyAlignment="1" applyProtection="1">
      <alignment horizontal="left" vertical="center" wrapText="1"/>
    </xf>
    <xf numFmtId="177" fontId="12" fillId="0" borderId="2" xfId="0" applyNumberFormat="1" applyFont="1" applyFill="1" applyBorder="1" applyAlignment="1" applyProtection="1">
      <alignment horizontal="center" vertical="center" wrapText="1"/>
      <protection locked="0"/>
    </xf>
    <xf numFmtId="177" fontId="9" fillId="0" borderId="2" xfId="0" applyNumberFormat="1" applyFont="1" applyFill="1" applyBorder="1" applyAlignment="1" applyProtection="1">
      <alignment horizontal="right" vertical="center" wrapText="1"/>
      <protection locked="0"/>
    </xf>
    <xf numFmtId="0" fontId="9" fillId="0" borderId="2" xfId="51" applyFont="1" applyFill="1" applyBorder="1" applyAlignment="1" applyProtection="1">
      <alignment horizontal="left" vertical="center" wrapText="1"/>
    </xf>
    <xf numFmtId="0" fontId="9" fillId="0" borderId="2" xfId="51" applyFont="1" applyFill="1" applyBorder="1" applyAlignment="1">
      <alignment horizontal="left" vertical="center" wrapText="1"/>
    </xf>
    <xf numFmtId="177" fontId="9" fillId="0" borderId="2" xfId="51" applyNumberFormat="1" applyFont="1" applyFill="1" applyBorder="1" applyAlignment="1">
      <alignment horizontal="center" vertical="center" wrapText="1"/>
    </xf>
    <xf numFmtId="177" fontId="6" fillId="0" borderId="2" xfId="0" applyNumberFormat="1" applyFont="1" applyFill="1" applyBorder="1" applyAlignment="1" applyProtection="1">
      <alignment vertical="center" wrapText="1"/>
      <protection locked="0"/>
    </xf>
    <xf numFmtId="176" fontId="14" fillId="0" borderId="2" xfId="0" applyNumberFormat="1" applyFont="1" applyFill="1" applyBorder="1" applyAlignment="1" applyProtection="1">
      <alignment horizontal="center" vertical="center" wrapText="1"/>
    </xf>
    <xf numFmtId="0" fontId="14" fillId="0" borderId="2" xfId="0" applyFont="1" applyFill="1" applyBorder="1" applyAlignment="1" applyProtection="1">
      <alignment horizontal="left" vertical="center" wrapText="1"/>
    </xf>
    <xf numFmtId="0" fontId="14" fillId="0" borderId="2" xfId="51" applyFont="1" applyFill="1" applyBorder="1" applyAlignment="1" applyProtection="1">
      <alignment horizontal="left" vertical="center" wrapText="1"/>
    </xf>
    <xf numFmtId="0" fontId="14" fillId="0" borderId="2" xfId="0" applyFont="1" applyFill="1" applyBorder="1" applyAlignment="1" applyProtection="1">
      <alignment horizontal="center" vertical="center" wrapText="1"/>
    </xf>
    <xf numFmtId="177" fontId="14" fillId="0" borderId="2" xfId="0" applyNumberFormat="1" applyFont="1" applyFill="1" applyBorder="1" applyAlignment="1" applyProtection="1">
      <alignment horizontal="center" vertical="center" wrapText="1"/>
    </xf>
    <xf numFmtId="177" fontId="14" fillId="0" borderId="2" xfId="0" applyNumberFormat="1" applyFont="1" applyFill="1" applyBorder="1" applyAlignment="1" applyProtection="1">
      <alignment horizontal="center" vertical="center" wrapText="1"/>
      <protection locked="0"/>
    </xf>
    <xf numFmtId="177" fontId="14" fillId="0" borderId="2" xfId="0" applyNumberFormat="1" applyFont="1" applyFill="1" applyBorder="1" applyAlignment="1" applyProtection="1">
      <alignment vertical="center" wrapText="1"/>
      <protection locked="0"/>
    </xf>
    <xf numFmtId="0" fontId="14" fillId="0" borderId="0" xfId="0" applyFont="1" applyFill="1" applyAlignment="1">
      <alignment vertical="center" wrapText="1"/>
    </xf>
    <xf numFmtId="0" fontId="10" fillId="0" borderId="2" xfId="51" applyFont="1" applyFill="1" applyBorder="1" applyAlignment="1">
      <alignment horizontal="left" vertical="center" wrapText="1"/>
    </xf>
    <xf numFmtId="0" fontId="10" fillId="0" borderId="2" xfId="51" applyFont="1" applyFill="1" applyBorder="1" applyAlignment="1">
      <alignment horizontal="center" vertical="center" wrapText="1"/>
    </xf>
    <xf numFmtId="179" fontId="10" fillId="0" borderId="2" xfId="0" applyNumberFormat="1" applyFont="1" applyFill="1" applyBorder="1" applyAlignment="1" applyProtection="1">
      <alignment horizontal="center" vertical="center" wrapText="1"/>
    </xf>
    <xf numFmtId="177" fontId="11" fillId="0" borderId="2" xfId="0" applyNumberFormat="1" applyFont="1" applyFill="1" applyBorder="1" applyAlignment="1">
      <alignment horizontal="center" vertical="center"/>
    </xf>
    <xf numFmtId="179" fontId="9" fillId="0" borderId="2" xfId="0" applyNumberFormat="1" applyFont="1" applyFill="1" applyBorder="1" applyAlignment="1" applyProtection="1">
      <alignment horizontal="center" vertical="center" wrapText="1"/>
    </xf>
    <xf numFmtId="177" fontId="6" fillId="0" borderId="2" xfId="0" applyNumberFormat="1" applyFont="1" applyFill="1" applyBorder="1" applyAlignment="1">
      <alignment horizontal="center" vertical="center"/>
    </xf>
    <xf numFmtId="0" fontId="6" fillId="0" borderId="2" xfId="0" applyFont="1" applyFill="1" applyBorder="1" applyAlignment="1">
      <alignment vertical="center"/>
    </xf>
    <xf numFmtId="0" fontId="9" fillId="0" borderId="2" xfId="51" applyFont="1" applyFill="1" applyBorder="1" applyAlignment="1">
      <alignment horizontal="center" vertical="center" wrapText="1"/>
    </xf>
    <xf numFmtId="0" fontId="9" fillId="0" borderId="2" xfId="55" applyFont="1" applyFill="1" applyBorder="1" applyAlignment="1">
      <alignment horizontal="left" vertical="center" wrapText="1"/>
    </xf>
    <xf numFmtId="0" fontId="15" fillId="0" borderId="2" xfId="51" applyFont="1" applyFill="1" applyBorder="1" applyAlignment="1">
      <alignment horizontal="center" vertical="center" wrapText="1"/>
    </xf>
    <xf numFmtId="178" fontId="11" fillId="0" borderId="2" xfId="0" applyNumberFormat="1" applyFont="1" applyFill="1" applyBorder="1" applyAlignment="1">
      <alignment horizontal="center" vertical="center"/>
    </xf>
    <xf numFmtId="0" fontId="16" fillId="3" borderId="0" xfId="52" applyNumberFormat="1" applyFont="1" applyFill="1" applyBorder="1" applyAlignment="1"/>
    <xf numFmtId="0" fontId="17" fillId="3" borderId="0" xfId="52" applyNumberFormat="1" applyFont="1" applyFill="1" applyBorder="1" applyAlignment="1"/>
    <xf numFmtId="0" fontId="16" fillId="3" borderId="0" xfId="52" applyNumberFormat="1" applyFont="1" applyFill="1" applyBorder="1" applyAlignment="1">
      <alignment horizontal="center"/>
    </xf>
    <xf numFmtId="0" fontId="7" fillId="3" borderId="0" xfId="52" applyNumberFormat="1" applyFont="1" applyFill="1" applyBorder="1" applyAlignment="1">
      <alignment horizontal="center"/>
    </xf>
    <xf numFmtId="0" fontId="8" fillId="3" borderId="0" xfId="52" applyNumberFormat="1" applyFont="1" applyFill="1" applyBorder="1" applyAlignment="1"/>
    <xf numFmtId="0" fontId="18" fillId="2" borderId="2" xfId="52" applyNumberFormat="1" applyFont="1" applyFill="1" applyBorder="1" applyAlignment="1">
      <alignment vertical="center"/>
    </xf>
    <xf numFmtId="0" fontId="18" fillId="2" borderId="2" xfId="52" applyNumberFormat="1" applyFont="1" applyFill="1" applyBorder="1" applyAlignment="1">
      <alignment horizontal="center" vertical="center"/>
    </xf>
    <xf numFmtId="0" fontId="17" fillId="3" borderId="2" xfId="52" applyNumberFormat="1" applyFont="1" applyFill="1" applyBorder="1" applyAlignment="1">
      <alignment horizontal="center" vertical="center"/>
    </xf>
    <xf numFmtId="0" fontId="17" fillId="3" borderId="2" xfId="52" applyNumberFormat="1" applyFont="1" applyFill="1" applyBorder="1" applyAlignment="1">
      <alignment horizontal="left" vertical="center" wrapText="1"/>
    </xf>
    <xf numFmtId="0" fontId="17" fillId="3" borderId="2" xfId="52"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2" xfId="0" applyFont="1" applyFill="1" applyBorder="1" applyAlignment="1">
      <alignment vertical="center"/>
    </xf>
    <xf numFmtId="0" fontId="1" fillId="0" borderId="0" xfId="0" applyFont="1" applyFill="1">
      <alignment vertical="center"/>
    </xf>
    <xf numFmtId="0" fontId="19" fillId="0" borderId="0" xfId="0" applyFont="1" applyFill="1">
      <alignment vertical="center"/>
    </xf>
    <xf numFmtId="43" fontId="9" fillId="0" borderId="2" xfId="0" applyNumberFormat="1" applyFont="1" applyFill="1" applyBorder="1" applyAlignment="1" applyProtection="1">
      <alignment horizontal="center" vertical="center" wrapText="1"/>
    </xf>
    <xf numFmtId="176" fontId="20" fillId="0" borderId="2" xfId="0" applyNumberFormat="1" applyFont="1" applyFill="1" applyBorder="1" applyAlignment="1" applyProtection="1">
      <alignment horizontal="center" vertical="center" wrapText="1"/>
    </xf>
    <xf numFmtId="0" fontId="20" fillId="0" borderId="2" xfId="0" applyFont="1" applyFill="1" applyBorder="1" applyAlignment="1" applyProtection="1">
      <alignment horizontal="left" vertical="center" wrapText="1"/>
    </xf>
    <xf numFmtId="43" fontId="20" fillId="0" borderId="2" xfId="0" applyNumberFormat="1" applyFont="1" applyFill="1" applyBorder="1" applyAlignment="1" applyProtection="1">
      <alignment horizontal="center" vertical="center" wrapText="1"/>
    </xf>
    <xf numFmtId="177" fontId="20" fillId="0" borderId="2" xfId="0" applyNumberFormat="1" applyFont="1" applyFill="1" applyBorder="1" applyAlignment="1" applyProtection="1">
      <alignment horizontal="center" vertical="center" wrapText="1"/>
    </xf>
    <xf numFmtId="177" fontId="20" fillId="0" borderId="2" xfId="0" applyNumberFormat="1" applyFont="1" applyFill="1" applyBorder="1" applyAlignment="1" applyProtection="1">
      <alignment horizontal="right" vertical="center" wrapText="1"/>
      <protection locked="0"/>
    </xf>
    <xf numFmtId="177" fontId="21" fillId="0" borderId="2" xfId="0" applyNumberFormat="1" applyFont="1" applyFill="1" applyBorder="1" applyAlignment="1" applyProtection="1">
      <alignment vertical="center" wrapText="1"/>
      <protection locked="0"/>
    </xf>
    <xf numFmtId="0" fontId="20" fillId="0" borderId="2" xfId="51" applyFont="1" applyFill="1" applyBorder="1" applyAlignment="1" applyProtection="1">
      <alignment horizontal="left" vertical="center" wrapText="1"/>
    </xf>
    <xf numFmtId="0" fontId="20" fillId="0" borderId="2" xfId="0" applyFont="1" applyFill="1" applyBorder="1" applyAlignment="1" applyProtection="1">
      <alignment horizontal="center" vertical="center" wrapText="1"/>
    </xf>
    <xf numFmtId="177" fontId="20" fillId="0" borderId="2" xfId="51" applyNumberFormat="1"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wrapText="1"/>
    </xf>
    <xf numFmtId="0" fontId="20" fillId="0" borderId="2" xfId="55" applyFont="1" applyFill="1" applyBorder="1" applyAlignment="1">
      <alignment horizontal="left" vertical="center" wrapText="1"/>
    </xf>
    <xf numFmtId="0" fontId="20" fillId="0" borderId="2" xfId="51" applyFont="1" applyFill="1" applyBorder="1" applyAlignment="1">
      <alignment horizontal="left" vertical="center" wrapText="1"/>
    </xf>
    <xf numFmtId="0" fontId="22" fillId="0" borderId="2" xfId="51" applyFont="1" applyFill="1" applyBorder="1" applyAlignment="1">
      <alignment horizontal="center" vertical="center" wrapText="1"/>
    </xf>
    <xf numFmtId="177" fontId="21" fillId="0" borderId="2" xfId="0" applyNumberFormat="1"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广州璧珑湾14#公共区域装修工程量报价表(03.25）fa " xfId="49"/>
    <cellStyle name="Normal 3" xfId="50"/>
    <cellStyle name="Normal" xfId="51"/>
    <cellStyle name="常规 23" xfId="52"/>
    <cellStyle name="常规 22" xfId="53"/>
    <cellStyle name="常规 2 3 2 2" xfId="54"/>
    <cellStyle name="常规 3" xfId="55"/>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37"/>
  <sheetViews>
    <sheetView tabSelected="1" workbookViewId="0">
      <pane ySplit="4" topLeftCell="A5" activePane="bottomLeft" state="frozen"/>
      <selection/>
      <selection pane="bottomLeft" activeCell="A2" sqref="A2"/>
    </sheetView>
  </sheetViews>
  <sheetFormatPr defaultColWidth="9" defaultRowHeight="13.5" outlineLevelCol="7"/>
  <cols>
    <col min="1" max="1" width="5.38333333333333" style="10" customWidth="1"/>
    <col min="2" max="2" width="13.1333333333333" style="11" customWidth="1"/>
    <col min="3" max="3" width="34.8833333333333" style="11" customWidth="1"/>
    <col min="4" max="4" width="5.75" style="11" customWidth="1"/>
    <col min="5" max="5" width="8.88333333333333" style="12" customWidth="1"/>
    <col min="6" max="6" width="11.5" style="13" customWidth="1"/>
    <col min="7" max="7" width="11.5" style="14" customWidth="1"/>
    <col min="8" max="8" width="9.75" style="15" customWidth="1"/>
    <col min="9" max="16384" width="9" style="93"/>
  </cols>
  <sheetData>
    <row r="1" s="93" customFormat="1" ht="22.5" spans="1:8">
      <c r="A1" s="16" t="s">
        <v>0</v>
      </c>
      <c r="B1" s="17"/>
      <c r="C1" s="18"/>
      <c r="D1" s="18"/>
      <c r="E1" s="19"/>
      <c r="F1" s="20"/>
      <c r="G1" s="19"/>
      <c r="H1" s="19"/>
    </row>
    <row r="2" s="93" customFormat="1" spans="1:8">
      <c r="A2" s="21" t="s">
        <v>1</v>
      </c>
      <c r="B2" s="21"/>
      <c r="C2" s="21"/>
      <c r="D2" s="21"/>
      <c r="E2" s="21"/>
      <c r="F2" s="22"/>
      <c r="G2" s="23"/>
      <c r="H2" s="23"/>
    </row>
    <row r="3" s="93" customFormat="1" ht="18" customHeight="1" spans="1:8">
      <c r="A3" s="24" t="s">
        <v>2</v>
      </c>
      <c r="B3" s="25" t="s">
        <v>3</v>
      </c>
      <c r="C3" s="25" t="s">
        <v>4</v>
      </c>
      <c r="D3" s="25" t="s">
        <v>5</v>
      </c>
      <c r="E3" s="26" t="s">
        <v>6</v>
      </c>
      <c r="F3" s="27" t="s">
        <v>7</v>
      </c>
      <c r="G3" s="26" t="s">
        <v>8</v>
      </c>
      <c r="H3" s="28" t="s">
        <v>9</v>
      </c>
    </row>
    <row r="4" s="93" customFormat="1" ht="25" customHeight="1" spans="1:8">
      <c r="A4" s="24"/>
      <c r="B4" s="25"/>
      <c r="C4" s="25"/>
      <c r="D4" s="25"/>
      <c r="E4" s="26"/>
      <c r="F4" s="27"/>
      <c r="G4" s="26"/>
      <c r="H4" s="28"/>
    </row>
    <row r="5" s="93" customFormat="1" spans="1:8">
      <c r="A5" s="29" t="s">
        <v>10</v>
      </c>
      <c r="B5" s="30" t="s">
        <v>11</v>
      </c>
      <c r="C5" s="30"/>
      <c r="D5" s="31"/>
      <c r="E5" s="32"/>
      <c r="F5" s="33"/>
      <c r="G5" s="34"/>
      <c r="H5" s="35"/>
    </row>
    <row r="6" s="93" customFormat="1" spans="1:8">
      <c r="A6" s="36"/>
      <c r="B6" s="37" t="s">
        <v>12</v>
      </c>
      <c r="C6" s="37"/>
      <c r="D6" s="38"/>
      <c r="E6" s="39"/>
      <c r="F6" s="40"/>
      <c r="G6" s="28"/>
      <c r="H6" s="41"/>
    </row>
    <row r="7" s="93" customFormat="1" ht="34" customHeight="1" spans="1:8">
      <c r="A7" s="36">
        <v>1</v>
      </c>
      <c r="B7" s="37" t="s">
        <v>13</v>
      </c>
      <c r="C7" s="37" t="s">
        <v>14</v>
      </c>
      <c r="D7" s="95" t="s">
        <v>15</v>
      </c>
      <c r="E7" s="60">
        <v>30.36</v>
      </c>
      <c r="F7" s="39"/>
      <c r="G7" s="57"/>
      <c r="H7" s="41"/>
    </row>
    <row r="8" s="93" customFormat="1" ht="41" customHeight="1" spans="1:8">
      <c r="A8" s="36">
        <v>2</v>
      </c>
      <c r="B8" s="37" t="s">
        <v>16</v>
      </c>
      <c r="C8" s="37" t="s">
        <v>14</v>
      </c>
      <c r="D8" s="95" t="s">
        <v>17</v>
      </c>
      <c r="E8" s="39">
        <v>1</v>
      </c>
      <c r="F8" s="39"/>
      <c r="G8" s="57"/>
      <c r="H8" s="41"/>
    </row>
    <row r="9" s="93" customFormat="1" ht="34" customHeight="1" spans="1:8">
      <c r="A9" s="36">
        <v>3</v>
      </c>
      <c r="B9" s="37" t="s">
        <v>18</v>
      </c>
      <c r="C9" s="37" t="s">
        <v>19</v>
      </c>
      <c r="D9" s="95" t="s">
        <v>17</v>
      </c>
      <c r="E9" s="39">
        <v>1</v>
      </c>
      <c r="F9" s="39"/>
      <c r="G9" s="57"/>
      <c r="H9" s="41"/>
    </row>
    <row r="10" s="93" customFormat="1" ht="34" customHeight="1" spans="1:8">
      <c r="A10" s="36">
        <v>4</v>
      </c>
      <c r="B10" s="37" t="s">
        <v>20</v>
      </c>
      <c r="C10" s="37" t="s">
        <v>19</v>
      </c>
      <c r="D10" s="95" t="s">
        <v>15</v>
      </c>
      <c r="E10" s="39">
        <v>80</v>
      </c>
      <c r="F10" s="39"/>
      <c r="G10" s="57"/>
      <c r="H10" s="61"/>
    </row>
    <row r="11" s="93" customFormat="1" ht="34" customHeight="1" spans="1:8">
      <c r="A11" s="96">
        <v>5</v>
      </c>
      <c r="B11" s="97" t="s">
        <v>21</v>
      </c>
      <c r="C11" s="97" t="s">
        <v>19</v>
      </c>
      <c r="D11" s="98" t="s">
        <v>15</v>
      </c>
      <c r="E11" s="99">
        <v>470</v>
      </c>
      <c r="F11" s="99"/>
      <c r="G11" s="100"/>
      <c r="H11" s="101"/>
    </row>
    <row r="12" s="94" customFormat="1" ht="21" customHeight="1" spans="1:8">
      <c r="A12" s="29"/>
      <c r="B12" s="70"/>
      <c r="C12" s="70" t="s">
        <v>22</v>
      </c>
      <c r="D12" s="71"/>
      <c r="E12" s="32"/>
      <c r="F12" s="73"/>
      <c r="G12" s="34">
        <f>SUM(G7:G11)</f>
        <v>0</v>
      </c>
      <c r="H12" s="35"/>
    </row>
    <row r="13" s="93" customFormat="1" spans="1:8">
      <c r="A13" s="29" t="s">
        <v>23</v>
      </c>
      <c r="B13" s="30" t="s">
        <v>24</v>
      </c>
      <c r="C13" s="30"/>
      <c r="D13" s="31"/>
      <c r="E13" s="32"/>
      <c r="F13" s="32"/>
      <c r="G13" s="57"/>
      <c r="H13" s="35"/>
    </row>
    <row r="14" s="93" customFormat="1" ht="38" customHeight="1" spans="1:8">
      <c r="A14" s="36">
        <v>1</v>
      </c>
      <c r="B14" s="59" t="s">
        <v>25</v>
      </c>
      <c r="C14" s="59" t="s">
        <v>26</v>
      </c>
      <c r="D14" s="95" t="s">
        <v>15</v>
      </c>
      <c r="E14" s="60">
        <v>470</v>
      </c>
      <c r="F14" s="60"/>
      <c r="G14" s="57"/>
      <c r="H14" s="41"/>
    </row>
    <row r="15" s="93" customFormat="1" ht="43" customHeight="1" spans="1:8">
      <c r="A15" s="36">
        <v>2</v>
      </c>
      <c r="B15" s="37" t="s">
        <v>27</v>
      </c>
      <c r="C15" s="37" t="s">
        <v>28</v>
      </c>
      <c r="D15" s="95" t="s">
        <v>15</v>
      </c>
      <c r="E15" s="39">
        <v>80</v>
      </c>
      <c r="F15" s="39"/>
      <c r="G15" s="57"/>
      <c r="H15" s="61"/>
    </row>
    <row r="16" s="93" customFormat="1" ht="48" customHeight="1" spans="1:8">
      <c r="A16" s="36">
        <v>3</v>
      </c>
      <c r="B16" s="37" t="s">
        <v>29</v>
      </c>
      <c r="C16" s="58" t="s">
        <v>30</v>
      </c>
      <c r="D16" s="38" t="s">
        <v>31</v>
      </c>
      <c r="E16" s="60">
        <v>20.28</v>
      </c>
      <c r="F16" s="39"/>
      <c r="G16" s="57"/>
      <c r="H16" s="61"/>
    </row>
    <row r="17" s="93" customFormat="1" ht="48" customHeight="1" spans="1:8">
      <c r="A17" s="36">
        <v>4</v>
      </c>
      <c r="B17" s="37" t="s">
        <v>32</v>
      </c>
      <c r="C17" s="58" t="s">
        <v>33</v>
      </c>
      <c r="D17" s="38" t="s">
        <v>34</v>
      </c>
      <c r="E17" s="60">
        <v>48.27</v>
      </c>
      <c r="F17" s="39"/>
      <c r="G17" s="57"/>
      <c r="H17" s="61"/>
    </row>
    <row r="18" s="93" customFormat="1" ht="48" customHeight="1" spans="1:8">
      <c r="A18" s="96">
        <v>5</v>
      </c>
      <c r="B18" s="97" t="s">
        <v>35</v>
      </c>
      <c r="C18" s="102" t="s">
        <v>36</v>
      </c>
      <c r="D18" s="103" t="s">
        <v>34</v>
      </c>
      <c r="E18" s="104">
        <v>48.07</v>
      </c>
      <c r="F18" s="99"/>
      <c r="G18" s="100"/>
      <c r="H18" s="101"/>
    </row>
    <row r="19" s="93" customFormat="1" ht="48" customHeight="1" spans="1:8">
      <c r="A19" s="36">
        <v>6</v>
      </c>
      <c r="B19" s="37" t="s">
        <v>37</v>
      </c>
      <c r="C19" s="58" t="s">
        <v>38</v>
      </c>
      <c r="D19" s="38" t="s">
        <v>34</v>
      </c>
      <c r="E19" s="60">
        <v>30.36</v>
      </c>
      <c r="F19" s="39"/>
      <c r="G19" s="57"/>
      <c r="H19" s="61"/>
    </row>
    <row r="20" s="93" customFormat="1" ht="48" customHeight="1" spans="1:8">
      <c r="A20" s="36">
        <v>7</v>
      </c>
      <c r="B20" s="37" t="s">
        <v>39</v>
      </c>
      <c r="C20" s="58" t="s">
        <v>40</v>
      </c>
      <c r="D20" s="38" t="s">
        <v>34</v>
      </c>
      <c r="E20" s="60">
        <v>13.2</v>
      </c>
      <c r="F20" s="39"/>
      <c r="G20" s="57"/>
      <c r="H20" s="61"/>
    </row>
    <row r="21" s="93" customFormat="1" ht="49" customHeight="1" spans="1:8">
      <c r="A21" s="36">
        <v>8</v>
      </c>
      <c r="B21" s="37" t="s">
        <v>41</v>
      </c>
      <c r="C21" s="58" t="s">
        <v>42</v>
      </c>
      <c r="D21" s="38" t="s">
        <v>15</v>
      </c>
      <c r="E21" s="60">
        <v>512.45</v>
      </c>
      <c r="F21" s="39"/>
      <c r="G21" s="57"/>
      <c r="H21" s="61"/>
    </row>
    <row r="22" s="94" customFormat="1" ht="21" customHeight="1" spans="1:8">
      <c r="A22" s="29"/>
      <c r="B22" s="70"/>
      <c r="C22" s="70" t="s">
        <v>43</v>
      </c>
      <c r="D22" s="71"/>
      <c r="E22" s="32"/>
      <c r="F22" s="73"/>
      <c r="G22" s="34">
        <f>SUM(G14:G21)</f>
        <v>0</v>
      </c>
      <c r="H22" s="35"/>
    </row>
    <row r="23" s="93" customFormat="1" spans="1:8">
      <c r="A23" s="29" t="s">
        <v>44</v>
      </c>
      <c r="B23" s="30" t="s">
        <v>45</v>
      </c>
      <c r="C23" s="30"/>
      <c r="D23" s="31"/>
      <c r="E23" s="32"/>
      <c r="F23" s="32"/>
      <c r="G23" s="34"/>
      <c r="H23" s="35"/>
    </row>
    <row r="24" s="93" customFormat="1" spans="1:8">
      <c r="A24" s="36"/>
      <c r="B24" s="37" t="s">
        <v>46</v>
      </c>
      <c r="C24" s="37"/>
      <c r="D24" s="38"/>
      <c r="E24" s="39"/>
      <c r="F24" s="75"/>
      <c r="G24" s="75"/>
      <c r="H24" s="76"/>
    </row>
    <row r="25" s="93" customFormat="1" ht="48" spans="1:8">
      <c r="A25" s="36">
        <v>1</v>
      </c>
      <c r="B25" s="37" t="s">
        <v>47</v>
      </c>
      <c r="C25" s="37" t="s">
        <v>48</v>
      </c>
      <c r="D25" s="38" t="s">
        <v>15</v>
      </c>
      <c r="E25" s="39">
        <v>470</v>
      </c>
      <c r="F25" s="75"/>
      <c r="G25" s="57"/>
      <c r="H25" s="61"/>
    </row>
    <row r="26" s="93" customFormat="1" spans="1:8">
      <c r="A26" s="36">
        <v>2</v>
      </c>
      <c r="B26" s="37" t="s">
        <v>49</v>
      </c>
      <c r="C26" s="37" t="s">
        <v>50</v>
      </c>
      <c r="D26" s="38" t="s">
        <v>15</v>
      </c>
      <c r="E26" s="39">
        <v>470</v>
      </c>
      <c r="F26" s="75"/>
      <c r="G26" s="57"/>
      <c r="H26" s="61"/>
    </row>
    <row r="27" s="93" customFormat="1" ht="51" customHeight="1" spans="1:8">
      <c r="A27" s="36">
        <v>3</v>
      </c>
      <c r="B27" s="59" t="s">
        <v>51</v>
      </c>
      <c r="C27" s="37" t="s">
        <v>52</v>
      </c>
      <c r="D27" s="77" t="s">
        <v>53</v>
      </c>
      <c r="E27" s="60">
        <v>48</v>
      </c>
      <c r="F27" s="75"/>
      <c r="G27" s="57"/>
      <c r="H27" s="61" t="s">
        <v>54</v>
      </c>
    </row>
    <row r="28" s="93" customFormat="1" ht="51" customHeight="1" spans="1:8">
      <c r="A28" s="36">
        <v>4</v>
      </c>
      <c r="B28" s="59" t="s">
        <v>55</v>
      </c>
      <c r="C28" s="37" t="s">
        <v>56</v>
      </c>
      <c r="D28" s="77" t="s">
        <v>17</v>
      </c>
      <c r="E28" s="60">
        <v>1</v>
      </c>
      <c r="F28" s="75"/>
      <c r="G28" s="57"/>
      <c r="H28" s="61"/>
    </row>
    <row r="29" s="94" customFormat="1" ht="21" customHeight="1" spans="1:8">
      <c r="A29" s="29"/>
      <c r="B29" s="70"/>
      <c r="C29" s="70" t="s">
        <v>57</v>
      </c>
      <c r="D29" s="71"/>
      <c r="E29" s="105"/>
      <c r="F29" s="73"/>
      <c r="G29" s="34">
        <f>SUM(G25:G28)</f>
        <v>0</v>
      </c>
      <c r="H29" s="35"/>
    </row>
    <row r="30" s="93" customFormat="1" spans="1:8">
      <c r="A30" s="29" t="s">
        <v>58</v>
      </c>
      <c r="B30" s="30" t="s">
        <v>59</v>
      </c>
      <c r="C30" s="30"/>
      <c r="D30" s="31"/>
      <c r="E30" s="105"/>
      <c r="F30" s="32"/>
      <c r="G30" s="34"/>
      <c r="H30" s="35"/>
    </row>
    <row r="31" s="93" customFormat="1" ht="41" customHeight="1" spans="1:8">
      <c r="A31" s="96">
        <v>1</v>
      </c>
      <c r="B31" s="106" t="s">
        <v>60</v>
      </c>
      <c r="C31" s="107" t="s">
        <v>61</v>
      </c>
      <c r="D31" s="108" t="s">
        <v>17</v>
      </c>
      <c r="E31" s="99">
        <v>1</v>
      </c>
      <c r="F31" s="109"/>
      <c r="G31" s="100"/>
      <c r="H31" s="101" t="s">
        <v>62</v>
      </c>
    </row>
    <row r="32" s="93" customFormat="1" spans="1:8">
      <c r="A32" s="36">
        <v>2</v>
      </c>
      <c r="B32" s="78" t="s">
        <v>63</v>
      </c>
      <c r="C32" s="59" t="s">
        <v>64</v>
      </c>
      <c r="D32" s="79" t="s">
        <v>65</v>
      </c>
      <c r="E32" s="39">
        <v>2</v>
      </c>
      <c r="F32" s="75"/>
      <c r="G32" s="57"/>
      <c r="H32" s="48"/>
    </row>
    <row r="33" s="94" customFormat="1" ht="15" customHeight="1" spans="1:8">
      <c r="A33" s="29"/>
      <c r="B33" s="70"/>
      <c r="C33" s="70" t="s">
        <v>66</v>
      </c>
      <c r="D33" s="71"/>
      <c r="E33" s="72"/>
      <c r="F33" s="73"/>
      <c r="G33" s="34">
        <f>SUM(G31:G32)</f>
        <v>0</v>
      </c>
      <c r="H33" s="35"/>
    </row>
    <row r="34" s="94" customFormat="1" ht="15" customHeight="1" spans="1:8">
      <c r="A34" s="29"/>
      <c r="B34" s="70"/>
      <c r="C34" s="70" t="s">
        <v>67</v>
      </c>
      <c r="D34" s="71"/>
      <c r="E34" s="72"/>
      <c r="F34" s="80"/>
      <c r="G34" s="34">
        <f t="shared" ref="G34:G36" si="0">G12+G33+G29+G22</f>
        <v>0</v>
      </c>
      <c r="H34" s="35"/>
    </row>
    <row r="35" s="94" customFormat="1" ht="15" customHeight="1" spans="1:8">
      <c r="A35" s="29"/>
      <c r="B35" s="70"/>
      <c r="C35" s="70" t="s">
        <v>68</v>
      </c>
      <c r="D35" s="71"/>
      <c r="E35" s="72"/>
      <c r="F35" s="80"/>
      <c r="G35" s="34">
        <f t="shared" si="0"/>
        <v>0</v>
      </c>
      <c r="H35" s="35"/>
    </row>
    <row r="36" s="94" customFormat="1" ht="28" customHeight="1" spans="1:8">
      <c r="A36" s="29"/>
      <c r="B36" s="70"/>
      <c r="C36" s="70" t="s">
        <v>69</v>
      </c>
      <c r="D36" s="71"/>
      <c r="E36" s="72"/>
      <c r="F36" s="80"/>
      <c r="G36" s="34">
        <f t="shared" si="0"/>
        <v>0</v>
      </c>
      <c r="H36" s="35"/>
    </row>
    <row r="37" spans="1:1">
      <c r="A37" s="10" t="s">
        <v>70</v>
      </c>
    </row>
  </sheetData>
  <autoFilter xmlns:etc="http://www.wps.cn/officeDocument/2017/etCustomData" ref="A4:H37" etc:filterBottomFollowUsedRange="0">
    <extLst/>
  </autoFilter>
  <mergeCells count="11">
    <mergeCell ref="A1:H1"/>
    <mergeCell ref="B5:C5"/>
    <mergeCell ref="B13:C13"/>
    <mergeCell ref="A3:A4"/>
    <mergeCell ref="B3:B4"/>
    <mergeCell ref="C3:C4"/>
    <mergeCell ref="D3:D4"/>
    <mergeCell ref="E3:E4"/>
    <mergeCell ref="F3:F4"/>
    <mergeCell ref="G3:G4"/>
    <mergeCell ref="H3:H4"/>
  </mergeCells>
  <printOptions horizontalCentered="1"/>
  <pageMargins left="0.313888888888889" right="0.118055555555556" top="0.313888888888889" bottom="0.313888888888889" header="0.297916666666667" footer="0"/>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view="pageBreakPreview" zoomScaleNormal="100" workbookViewId="0">
      <selection activeCell="A1" sqref="A1:D19"/>
    </sheetView>
  </sheetViews>
  <sheetFormatPr defaultColWidth="9" defaultRowHeight="14.25" customHeight="1" outlineLevelCol="3"/>
  <cols>
    <col min="1" max="1" width="5.5" style="81" customWidth="1"/>
    <col min="2" max="2" width="22.75" style="81" customWidth="1"/>
    <col min="3" max="3" width="36.25" style="83" customWidth="1"/>
    <col min="4" max="4" width="17.5" style="83" customWidth="1"/>
    <col min="5" max="210" width="9" style="81"/>
    <col min="211" max="211" width="4.1" style="81" customWidth="1"/>
    <col min="212" max="212" width="19.6" style="81" customWidth="1"/>
    <col min="213" max="213" width="11.5" style="81" customWidth="1"/>
    <col min="214" max="214" width="8.9" style="81" customWidth="1"/>
    <col min="215" max="215" width="9" style="81"/>
    <col min="216" max="216" width="8.2" style="81" customWidth="1"/>
    <col min="217" max="217" width="10.6" style="81" customWidth="1"/>
    <col min="218" max="218" width="11.2" style="81" customWidth="1"/>
    <col min="219" max="16384" width="9" style="81"/>
  </cols>
  <sheetData>
    <row r="1" s="81" customFormat="1" ht="30" customHeight="1" spans="1:4">
      <c r="A1" s="84" t="s">
        <v>71</v>
      </c>
      <c r="B1" s="84"/>
      <c r="C1" s="84"/>
      <c r="D1" s="84"/>
    </row>
    <row r="2" s="81" customFormat="1" ht="22" customHeight="1" spans="1:4">
      <c r="A2" s="85" t="s">
        <v>72</v>
      </c>
      <c r="B2" s="85"/>
      <c r="C2" s="85"/>
      <c r="D2" s="85"/>
    </row>
    <row r="3" s="81" customFormat="1" ht="25" customHeight="1" spans="1:4">
      <c r="A3" s="86" t="s">
        <v>2</v>
      </c>
      <c r="B3" s="87" t="s">
        <v>73</v>
      </c>
      <c r="C3" s="87" t="s">
        <v>74</v>
      </c>
      <c r="D3" s="87" t="s">
        <v>9</v>
      </c>
    </row>
    <row r="4" s="82" customFormat="1" ht="25" customHeight="1" spans="1:4">
      <c r="A4" s="88">
        <v>1</v>
      </c>
      <c r="B4" s="89" t="s">
        <v>75</v>
      </c>
      <c r="C4" s="90" t="s">
        <v>76</v>
      </c>
      <c r="D4" s="90"/>
    </row>
    <row r="5" s="82" customFormat="1" ht="25" customHeight="1" spans="1:4">
      <c r="A5" s="88">
        <v>2</v>
      </c>
      <c r="B5" s="89" t="s">
        <v>77</v>
      </c>
      <c r="C5" s="90" t="s">
        <v>78</v>
      </c>
      <c r="D5" s="90"/>
    </row>
    <row r="6" s="82" customFormat="1" ht="25" customHeight="1" spans="1:4">
      <c r="A6" s="88">
        <v>3</v>
      </c>
      <c r="B6" s="89" t="s">
        <v>79</v>
      </c>
      <c r="C6" s="90" t="s">
        <v>80</v>
      </c>
      <c r="D6" s="90"/>
    </row>
    <row r="7" s="82" customFormat="1" ht="25" customHeight="1" spans="1:4">
      <c r="A7" s="88">
        <v>4</v>
      </c>
      <c r="B7" s="89" t="s">
        <v>81</v>
      </c>
      <c r="C7" s="90" t="s">
        <v>82</v>
      </c>
      <c r="D7" s="90"/>
    </row>
    <row r="8" s="82" customFormat="1" ht="25" customHeight="1" spans="1:4">
      <c r="A8" s="88">
        <v>5</v>
      </c>
      <c r="B8" s="89" t="s">
        <v>83</v>
      </c>
      <c r="C8" s="88" t="s">
        <v>84</v>
      </c>
      <c r="D8" s="88"/>
    </row>
    <row r="9" s="82" customFormat="1" ht="25" customHeight="1" spans="1:4">
      <c r="A9" s="88">
        <v>6</v>
      </c>
      <c r="B9" s="89" t="s">
        <v>85</v>
      </c>
      <c r="C9" s="88" t="s">
        <v>84</v>
      </c>
      <c r="D9" s="88"/>
    </row>
    <row r="10" s="82" customFormat="1" ht="25" customHeight="1" spans="1:4">
      <c r="A10" s="88">
        <v>7</v>
      </c>
      <c r="B10" s="89" t="s">
        <v>86</v>
      </c>
      <c r="C10" s="88" t="s">
        <v>87</v>
      </c>
      <c r="D10" s="88"/>
    </row>
    <row r="11" s="82" customFormat="1" ht="25" customHeight="1" spans="1:4">
      <c r="A11" s="88">
        <v>8</v>
      </c>
      <c r="B11" s="89" t="s">
        <v>88</v>
      </c>
      <c r="C11" s="88" t="s">
        <v>89</v>
      </c>
      <c r="D11" s="88"/>
    </row>
    <row r="12" s="82" customFormat="1" ht="25" customHeight="1" spans="1:4">
      <c r="A12" s="88">
        <v>9</v>
      </c>
      <c r="B12" s="89" t="s">
        <v>90</v>
      </c>
      <c r="C12" s="88" t="s">
        <v>91</v>
      </c>
      <c r="D12" s="88"/>
    </row>
    <row r="13" s="82" customFormat="1" ht="25" customHeight="1" spans="1:4">
      <c r="A13" s="88">
        <v>10</v>
      </c>
      <c r="B13" s="89" t="s">
        <v>92</v>
      </c>
      <c r="C13" s="88" t="s">
        <v>93</v>
      </c>
      <c r="D13" s="88"/>
    </row>
    <row r="14" s="82" customFormat="1" ht="25" customHeight="1" spans="1:4">
      <c r="A14" s="88">
        <v>11</v>
      </c>
      <c r="B14" s="89" t="s">
        <v>94</v>
      </c>
      <c r="C14" s="88" t="s">
        <v>95</v>
      </c>
      <c r="D14" s="88"/>
    </row>
    <row r="15" s="82" customFormat="1" ht="25" customHeight="1" spans="1:4">
      <c r="A15" s="88">
        <v>12</v>
      </c>
      <c r="B15" s="89" t="s">
        <v>96</v>
      </c>
      <c r="C15" s="88" t="s">
        <v>97</v>
      </c>
      <c r="D15" s="88"/>
    </row>
    <row r="16" s="82" customFormat="1" ht="25" customHeight="1" spans="1:4">
      <c r="A16" s="88">
        <v>13</v>
      </c>
      <c r="B16" s="91" t="s">
        <v>98</v>
      </c>
      <c r="C16" s="88" t="s">
        <v>99</v>
      </c>
      <c r="D16" s="88"/>
    </row>
    <row r="17" s="82" customFormat="1" ht="25" customHeight="1" spans="1:4">
      <c r="A17" s="88">
        <v>14</v>
      </c>
      <c r="B17" s="91" t="s">
        <v>100</v>
      </c>
      <c r="C17" s="88" t="s">
        <v>101</v>
      </c>
      <c r="D17" s="88"/>
    </row>
    <row r="18" s="82" customFormat="1" ht="25" customHeight="1" spans="1:4">
      <c r="A18" s="88">
        <v>15</v>
      </c>
      <c r="B18" s="92" t="s">
        <v>102</v>
      </c>
      <c r="C18" s="88" t="s">
        <v>103</v>
      </c>
      <c r="D18" s="88"/>
    </row>
    <row r="19" s="82" customFormat="1" ht="25" customHeight="1" spans="1:4">
      <c r="A19" s="88">
        <v>16</v>
      </c>
      <c r="B19" s="92" t="s">
        <v>104</v>
      </c>
      <c r="C19" s="88" t="s">
        <v>105</v>
      </c>
      <c r="D19" s="88"/>
    </row>
  </sheetData>
  <mergeCells count="1">
    <mergeCell ref="A1:D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309"/>
  <sheetViews>
    <sheetView view="pageBreakPreview" zoomScaleNormal="100" topLeftCell="A21" workbookViewId="0">
      <selection activeCell="A30" sqref="$A30:$XFD30"/>
    </sheetView>
  </sheetViews>
  <sheetFormatPr defaultColWidth="9" defaultRowHeight="13.5"/>
  <cols>
    <col min="1" max="1" width="5.38333333333333" style="10" customWidth="1"/>
    <col min="2" max="2" width="13.1333333333333" style="11" customWidth="1"/>
    <col min="3" max="3" width="34.8833333333333" style="11" customWidth="1"/>
    <col min="4" max="4" width="5.75" style="11" customWidth="1"/>
    <col min="5" max="5" width="8.88333333333333" style="12" customWidth="1"/>
    <col min="6" max="6" width="11.5" style="13" customWidth="1"/>
    <col min="7" max="7" width="11.5" style="14" customWidth="1"/>
    <col min="8" max="8" width="9.75" style="15" customWidth="1"/>
    <col min="9" max="16384" width="9" style="1"/>
  </cols>
  <sheetData>
    <row r="1" s="1" customFormat="1" ht="22.5" spans="1:8">
      <c r="A1" s="16" t="s">
        <v>106</v>
      </c>
      <c r="B1" s="17"/>
      <c r="C1" s="18"/>
      <c r="D1" s="18"/>
      <c r="E1" s="19"/>
      <c r="F1" s="20"/>
      <c r="G1" s="19"/>
      <c r="H1" s="19"/>
    </row>
    <row r="2" s="1" customFormat="1" spans="1:8">
      <c r="A2" s="21" t="s">
        <v>107</v>
      </c>
      <c r="B2" s="21"/>
      <c r="C2" s="21"/>
      <c r="D2" s="21"/>
      <c r="E2" s="21"/>
      <c r="F2" s="22"/>
      <c r="G2" s="23"/>
      <c r="H2" s="23"/>
    </row>
    <row r="3" s="1" customFormat="1" ht="18" customHeight="1" spans="1:8">
      <c r="A3" s="24" t="s">
        <v>2</v>
      </c>
      <c r="B3" s="25" t="s">
        <v>3</v>
      </c>
      <c r="C3" s="25" t="s">
        <v>4</v>
      </c>
      <c r="D3" s="25" t="s">
        <v>5</v>
      </c>
      <c r="E3" s="26" t="s">
        <v>6</v>
      </c>
      <c r="F3" s="27" t="s">
        <v>7</v>
      </c>
      <c r="G3" s="26" t="s">
        <v>8</v>
      </c>
      <c r="H3" s="28" t="s">
        <v>9</v>
      </c>
    </row>
    <row r="4" s="1" customFormat="1" ht="25" customHeight="1" spans="1:8">
      <c r="A4" s="24"/>
      <c r="B4" s="25"/>
      <c r="C4" s="25"/>
      <c r="D4" s="25"/>
      <c r="E4" s="26"/>
      <c r="F4" s="27"/>
      <c r="G4" s="26"/>
      <c r="H4" s="28"/>
    </row>
    <row r="5" s="1" customFormat="1" spans="1:8">
      <c r="A5" s="29" t="s">
        <v>10</v>
      </c>
      <c r="B5" s="30" t="s">
        <v>108</v>
      </c>
      <c r="C5" s="30"/>
      <c r="D5" s="31"/>
      <c r="E5" s="32"/>
      <c r="F5" s="33"/>
      <c r="G5" s="34"/>
      <c r="H5" s="35"/>
    </row>
    <row r="6" s="1" customFormat="1" spans="1:8">
      <c r="A6" s="36"/>
      <c r="B6" s="37" t="s">
        <v>109</v>
      </c>
      <c r="C6" s="37"/>
      <c r="D6" s="38"/>
      <c r="E6" s="39"/>
      <c r="F6" s="40"/>
      <c r="G6" s="28"/>
      <c r="H6" s="41"/>
    </row>
    <row r="7" s="2" customFormat="1" ht="43" customHeight="1" spans="1:8">
      <c r="A7" s="42">
        <v>1</v>
      </c>
      <c r="B7" s="43" t="s">
        <v>110</v>
      </c>
      <c r="C7" s="43" t="s">
        <v>14</v>
      </c>
      <c r="D7" s="44" t="s">
        <v>15</v>
      </c>
      <c r="E7" s="45">
        <f>11.5*2</f>
        <v>23</v>
      </c>
      <c r="F7" s="45"/>
      <c r="G7" s="46"/>
      <c r="H7" s="47"/>
    </row>
    <row r="8" s="2" customFormat="1" ht="43" customHeight="1" spans="1:8">
      <c r="A8" s="42">
        <v>2</v>
      </c>
      <c r="B8" s="43" t="s">
        <v>111</v>
      </c>
      <c r="C8" s="43" t="s">
        <v>112</v>
      </c>
      <c r="D8" s="44" t="s">
        <v>15</v>
      </c>
      <c r="E8" s="45">
        <f>7.45*3.6</f>
        <v>26.82</v>
      </c>
      <c r="F8" s="45"/>
      <c r="G8" s="46"/>
      <c r="H8" s="47"/>
    </row>
    <row r="9" s="2" customFormat="1" ht="43" customHeight="1" spans="1:8">
      <c r="A9" s="42">
        <v>3</v>
      </c>
      <c r="B9" s="43" t="s">
        <v>113</v>
      </c>
      <c r="C9" s="43" t="s">
        <v>114</v>
      </c>
      <c r="D9" s="44" t="s">
        <v>15</v>
      </c>
      <c r="E9" s="45">
        <f>19.81*3.6-1.9*2.2</f>
        <v>67.136</v>
      </c>
      <c r="F9" s="45"/>
      <c r="G9" s="46"/>
      <c r="H9" s="47"/>
    </row>
    <row r="10" s="2" customFormat="1" ht="43" customHeight="1" spans="1:8">
      <c r="A10" s="42">
        <v>4</v>
      </c>
      <c r="B10" s="43" t="s">
        <v>115</v>
      </c>
      <c r="C10" s="43" t="s">
        <v>19</v>
      </c>
      <c r="D10" s="44" t="s">
        <v>31</v>
      </c>
      <c r="E10" s="45">
        <v>4.3</v>
      </c>
      <c r="F10" s="45"/>
      <c r="G10" s="46"/>
      <c r="H10" s="47"/>
    </row>
    <row r="11" s="2" customFormat="1" ht="43" customHeight="1" spans="1:8">
      <c r="A11" s="42">
        <v>5</v>
      </c>
      <c r="B11" s="43" t="s">
        <v>116</v>
      </c>
      <c r="C11" s="43" t="s">
        <v>19</v>
      </c>
      <c r="D11" s="44" t="s">
        <v>117</v>
      </c>
      <c r="E11" s="45">
        <f>(3.1+3.86+5.48)*3.6+(3.48+2+3.6+3.3+1.63+2.4)*2.3</f>
        <v>82.527</v>
      </c>
      <c r="F11" s="45"/>
      <c r="G11" s="46"/>
      <c r="H11" s="47"/>
    </row>
    <row r="12" s="2" customFormat="1" ht="43" customHeight="1" spans="1:8">
      <c r="A12" s="42">
        <v>6</v>
      </c>
      <c r="B12" s="43" t="s">
        <v>118</v>
      </c>
      <c r="C12" s="43" t="s">
        <v>19</v>
      </c>
      <c r="D12" s="44" t="s">
        <v>117</v>
      </c>
      <c r="E12" s="45">
        <v>19.6</v>
      </c>
      <c r="F12" s="45"/>
      <c r="G12" s="46"/>
      <c r="H12" s="48" t="s">
        <v>119</v>
      </c>
    </row>
    <row r="13" s="2" customFormat="1" ht="54" customHeight="1" spans="1:8">
      <c r="A13" s="42">
        <v>7</v>
      </c>
      <c r="B13" s="43" t="s">
        <v>120</v>
      </c>
      <c r="C13" s="43" t="s">
        <v>121</v>
      </c>
      <c r="D13" s="44" t="s">
        <v>117</v>
      </c>
      <c r="E13" s="45">
        <f>(17.07+1.62+0.35+5.57+6.75+8.97+6)*5.3+3.08*5.3</f>
        <v>261.873</v>
      </c>
      <c r="F13" s="45">
        <v>33</v>
      </c>
      <c r="G13" s="46">
        <f>ROUND(E13*F13,2)</f>
        <v>8641.81</v>
      </c>
      <c r="H13" s="47"/>
    </row>
    <row r="14" s="2" customFormat="1" ht="54" customHeight="1" spans="1:8">
      <c r="A14" s="42">
        <v>8</v>
      </c>
      <c r="B14" s="43" t="s">
        <v>122</v>
      </c>
      <c r="C14" s="43" t="s">
        <v>123</v>
      </c>
      <c r="D14" s="44" t="s">
        <v>117</v>
      </c>
      <c r="E14" s="45">
        <f>(18.38+9.45+3.38+1.62+1.12+1.62+8.53+16.4+1.62+5.61+2.94+1.22+1.37+2.94+1.27+19.61+1.5+1.21+2.58+7.18+5.88+3.67+0.93+4.28+3.15+3.27+8.72)*2.3+3.53*4.1*2+3.53*2.6*2+1.14*2*2.6</f>
        <v>373.965</v>
      </c>
      <c r="F14" s="45"/>
      <c r="G14" s="46"/>
      <c r="H14" s="47"/>
    </row>
    <row r="15" s="2" customFormat="1" ht="49" customHeight="1" spans="1:8">
      <c r="A15" s="42">
        <v>9</v>
      </c>
      <c r="B15" s="43" t="s">
        <v>124</v>
      </c>
      <c r="C15" s="43" t="s">
        <v>125</v>
      </c>
      <c r="D15" s="44" t="s">
        <v>117</v>
      </c>
      <c r="E15" s="45">
        <f>37.68*3.3-1.5*2.1-3.53*3.3-3.53*3.3-1.8*2.1+32.19*3.8-1.8*2.1+22.88*3.8-(1.5+3.53+3.53)*3.8+20*3.8-1.8*2.1</f>
        <v>339.294</v>
      </c>
      <c r="F15" s="45"/>
      <c r="G15" s="46"/>
      <c r="H15" s="47"/>
    </row>
    <row r="16" s="2" customFormat="1" ht="50" customHeight="1" spans="1:9">
      <c r="A16" s="42">
        <v>10</v>
      </c>
      <c r="B16" s="43" t="s">
        <v>126</v>
      </c>
      <c r="C16" s="43" t="s">
        <v>14</v>
      </c>
      <c r="D16" s="44" t="s">
        <v>117</v>
      </c>
      <c r="E16" s="45">
        <f>233.6+62.11+53.2+138.05+33.72+33.29+27.9</f>
        <v>581.87</v>
      </c>
      <c r="F16" s="45"/>
      <c r="G16" s="46"/>
      <c r="H16" s="48" t="s">
        <v>127</v>
      </c>
      <c r="I16" s="2" t="s">
        <v>128</v>
      </c>
    </row>
    <row r="17" s="1" customFormat="1" spans="1:8">
      <c r="A17" s="36"/>
      <c r="B17" s="37" t="s">
        <v>129</v>
      </c>
      <c r="C17" s="37"/>
      <c r="D17" s="38"/>
      <c r="E17" s="39"/>
      <c r="F17" s="40"/>
      <c r="G17" s="28"/>
      <c r="H17" s="41"/>
    </row>
    <row r="18" s="2" customFormat="1" ht="54" customHeight="1" spans="1:8">
      <c r="A18" s="42">
        <v>1</v>
      </c>
      <c r="B18" s="43" t="s">
        <v>122</v>
      </c>
      <c r="C18" s="43" t="s">
        <v>123</v>
      </c>
      <c r="D18" s="44" t="s">
        <v>117</v>
      </c>
      <c r="E18" s="45">
        <f>(4.03+8.52+7.28+7.44+1.76+4.37+24.74+3.5+5.99+3+2.92+0.8+3.05+0.4+3.89+2.47+10.94+3.8+2.03+6+3.07+8.77)*2</f>
        <v>237.54</v>
      </c>
      <c r="F18" s="45"/>
      <c r="G18" s="46"/>
      <c r="H18" s="47"/>
    </row>
    <row r="19" s="2" customFormat="1" ht="43" customHeight="1" spans="1:8">
      <c r="A19" s="42">
        <v>2</v>
      </c>
      <c r="B19" s="43" t="s">
        <v>116</v>
      </c>
      <c r="C19" s="43" t="s">
        <v>19</v>
      </c>
      <c r="D19" s="44" t="s">
        <v>117</v>
      </c>
      <c r="E19" s="45">
        <f>(0.925+2.14+1.64+4.7+7.95+1.69+3.7+2.24+2.24+2.28+1.76+1.76*2+0.96+0.97+1.45+4)*2</f>
        <v>84.33</v>
      </c>
      <c r="F19" s="45"/>
      <c r="G19" s="46"/>
      <c r="H19" s="47"/>
    </row>
    <row r="20" s="2" customFormat="1" ht="54" customHeight="1" spans="1:8">
      <c r="A20" s="42">
        <v>3</v>
      </c>
      <c r="B20" s="43" t="s">
        <v>130</v>
      </c>
      <c r="C20" s="43" t="s">
        <v>131</v>
      </c>
      <c r="D20" s="44" t="s">
        <v>117</v>
      </c>
      <c r="E20" s="45">
        <f>23.48+4.63+5.32+5.44+27.94</f>
        <v>66.81</v>
      </c>
      <c r="F20" s="45"/>
      <c r="G20" s="46"/>
      <c r="H20" s="48" t="s">
        <v>132</v>
      </c>
    </row>
    <row r="21" s="2" customFormat="1" ht="54" customHeight="1" spans="1:8">
      <c r="A21" s="42">
        <v>4</v>
      </c>
      <c r="B21" s="43" t="s">
        <v>133</v>
      </c>
      <c r="C21" s="43" t="s">
        <v>134</v>
      </c>
      <c r="D21" s="44" t="s">
        <v>117</v>
      </c>
      <c r="E21" s="45">
        <f>193.44+91.35+68.2</f>
        <v>352.99</v>
      </c>
      <c r="F21" s="45"/>
      <c r="G21" s="46"/>
      <c r="H21" s="48"/>
    </row>
    <row r="22" s="2" customFormat="1" ht="50" customHeight="1" spans="1:8">
      <c r="A22" s="42">
        <v>5</v>
      </c>
      <c r="B22" s="43" t="s">
        <v>135</v>
      </c>
      <c r="C22" s="43" t="s">
        <v>14</v>
      </c>
      <c r="D22" s="44" t="s">
        <v>117</v>
      </c>
      <c r="E22" s="45">
        <f>193.44+91.35+68.2-(4.03+8.52+7.28+7.44+1.76+4.37+24.74+3.5+5.99+3+2.92+0.8+3.05+0.4+3.89+2.47+10.94+3.8+2.03+6+3.07+8.77)*0.1</f>
        <v>341.113</v>
      </c>
      <c r="F22" s="45"/>
      <c r="G22" s="46"/>
      <c r="H22" s="48"/>
    </row>
    <row r="23" s="1" customFormat="1" spans="1:8">
      <c r="A23" s="36"/>
      <c r="B23" s="37" t="s">
        <v>136</v>
      </c>
      <c r="C23" s="37"/>
      <c r="D23" s="38"/>
      <c r="E23" s="39"/>
      <c r="F23" s="40"/>
      <c r="G23" s="28"/>
      <c r="H23" s="41"/>
    </row>
    <row r="24" s="2" customFormat="1" ht="48" customHeight="1" spans="1:8">
      <c r="A24" s="42">
        <v>1</v>
      </c>
      <c r="B24" s="43" t="s">
        <v>137</v>
      </c>
      <c r="C24" s="43" t="s">
        <v>138</v>
      </c>
      <c r="D24" s="44" t="s">
        <v>117</v>
      </c>
      <c r="E24" s="45">
        <f>(1.62+2.64+2.64+2.94+2.22+1.74+2.16)*5.3-0.8*2.1</f>
        <v>82.908</v>
      </c>
      <c r="F24" s="45">
        <v>109</v>
      </c>
      <c r="G24" s="46">
        <f t="shared" ref="G24:G28" si="0">ROUND(E24*F24,2)</f>
        <v>9036.97</v>
      </c>
      <c r="H24" s="47"/>
    </row>
    <row r="25" s="2" customFormat="1" ht="51" customHeight="1" spans="1:8">
      <c r="A25" s="42">
        <v>2</v>
      </c>
      <c r="B25" s="43" t="s">
        <v>139</v>
      </c>
      <c r="C25" s="43" t="s">
        <v>140</v>
      </c>
      <c r="D25" s="44" t="s">
        <v>117</v>
      </c>
      <c r="E25" s="45">
        <f>(0.72*2+6.8*2+7.75+1.62+3.38+8.65+4.96+1.18+3.54+1.57)*5.3-(1.6*2.1*2-4.11*2.6)</f>
        <v>256.723</v>
      </c>
      <c r="F25" s="45">
        <v>126.9</v>
      </c>
      <c r="G25" s="46">
        <f t="shared" si="0"/>
        <v>32578.15</v>
      </c>
      <c r="H25" s="47"/>
    </row>
    <row r="26" s="3" customFormat="1" ht="42" customHeight="1" spans="1:8">
      <c r="A26" s="42">
        <v>3</v>
      </c>
      <c r="B26" s="43" t="s">
        <v>141</v>
      </c>
      <c r="C26" s="43" t="s">
        <v>142</v>
      </c>
      <c r="D26" s="44" t="s">
        <v>31</v>
      </c>
      <c r="E26" s="45">
        <f>1.6+0.3+1.6+0.3+4.3+0.3</f>
        <v>8.4</v>
      </c>
      <c r="F26" s="45">
        <v>136.3</v>
      </c>
      <c r="G26" s="46">
        <f t="shared" si="0"/>
        <v>1144.92</v>
      </c>
      <c r="H26" s="47"/>
    </row>
    <row r="27" s="2" customFormat="1" ht="42" customHeight="1" spans="1:8">
      <c r="A27" s="42">
        <v>4</v>
      </c>
      <c r="B27" s="49" t="s">
        <v>143</v>
      </c>
      <c r="C27" s="49" t="s">
        <v>144</v>
      </c>
      <c r="D27" s="50" t="s">
        <v>117</v>
      </c>
      <c r="E27" s="45">
        <f>E25*2</f>
        <v>513.446</v>
      </c>
      <c r="F27" s="51"/>
      <c r="G27" s="46">
        <f t="shared" si="0"/>
        <v>0</v>
      </c>
      <c r="H27" s="47"/>
    </row>
    <row r="28" s="2" customFormat="1" ht="48" customHeight="1" spans="1:8">
      <c r="A28" s="42">
        <v>5</v>
      </c>
      <c r="B28" s="43" t="s">
        <v>145</v>
      </c>
      <c r="C28" s="43" t="s">
        <v>146</v>
      </c>
      <c r="D28" s="44" t="s">
        <v>117</v>
      </c>
      <c r="E28" s="45">
        <f>(7.5+7.45+7.5+0.36*2)*3.8+(2.49+8.7+4.72+7.5+0.36)*3.8-(0.9*4+1.6*2+0.9*4)*2.4+(3.53*2)*3.8-1.6*2.4*2+(8.22*3.8-0.9*2.4)+4.11*2.6</f>
        <v>212.322</v>
      </c>
      <c r="F28" s="45">
        <v>145.7</v>
      </c>
      <c r="G28" s="46">
        <f t="shared" si="0"/>
        <v>30935.32</v>
      </c>
      <c r="H28" s="47"/>
    </row>
    <row r="29" s="2" customFormat="1" ht="48" customHeight="1" spans="1:8">
      <c r="A29" s="42">
        <v>6</v>
      </c>
      <c r="B29" s="43" t="s">
        <v>147</v>
      </c>
      <c r="C29" s="43" t="s">
        <v>148</v>
      </c>
      <c r="D29" s="44" t="s">
        <v>149</v>
      </c>
      <c r="E29" s="45">
        <v>2</v>
      </c>
      <c r="F29" s="45"/>
      <c r="G29" s="46"/>
      <c r="H29" s="47"/>
    </row>
    <row r="30" s="2" customFormat="1" ht="45" customHeight="1" spans="1:8">
      <c r="A30" s="42">
        <v>7</v>
      </c>
      <c r="B30" s="43" t="s">
        <v>150</v>
      </c>
      <c r="C30" s="43" t="s">
        <v>151</v>
      </c>
      <c r="D30" s="50" t="s">
        <v>117</v>
      </c>
      <c r="E30" s="45">
        <f>((7.5+7.45+7.5+0.36*2)+(2.49+8.7+4.72+7.5+0.36)+(3.53*2)+8.22)*1.5</f>
        <v>93.33</v>
      </c>
      <c r="F30" s="45">
        <v>137</v>
      </c>
      <c r="G30" s="46">
        <f>ROUND(E30*F30,2)</f>
        <v>12786.21</v>
      </c>
      <c r="H30" s="47"/>
    </row>
    <row r="31" s="2" customFormat="1" ht="63" customHeight="1" spans="1:8">
      <c r="A31" s="42">
        <v>8</v>
      </c>
      <c r="B31" s="43" t="s">
        <v>152</v>
      </c>
      <c r="C31" s="43" t="s">
        <v>153</v>
      </c>
      <c r="D31" s="44" t="s">
        <v>154</v>
      </c>
      <c r="E31" s="45">
        <v>3</v>
      </c>
      <c r="F31" s="45"/>
      <c r="G31" s="46"/>
      <c r="H31" s="47"/>
    </row>
    <row r="32" s="2" customFormat="1" ht="63" customHeight="1" spans="1:8">
      <c r="A32" s="42">
        <v>9</v>
      </c>
      <c r="B32" s="43" t="s">
        <v>155</v>
      </c>
      <c r="C32" s="43" t="s">
        <v>156</v>
      </c>
      <c r="D32" s="44" t="s">
        <v>154</v>
      </c>
      <c r="E32" s="45">
        <v>2</v>
      </c>
      <c r="F32" s="45"/>
      <c r="G32" s="46"/>
      <c r="H32" s="47"/>
    </row>
    <row r="33" s="1" customFormat="1" spans="1:8">
      <c r="A33" s="29" t="s">
        <v>10</v>
      </c>
      <c r="B33" s="30" t="s">
        <v>24</v>
      </c>
      <c r="C33" s="30"/>
      <c r="D33" s="31"/>
      <c r="E33" s="32"/>
      <c r="F33" s="33"/>
      <c r="G33" s="34"/>
      <c r="H33" s="35"/>
    </row>
    <row r="34" s="4" customFormat="1" ht="24" spans="1:8">
      <c r="A34" s="36"/>
      <c r="B34" s="37" t="s">
        <v>157</v>
      </c>
      <c r="C34" s="37"/>
      <c r="D34" s="38"/>
      <c r="E34" s="39"/>
      <c r="F34" s="39"/>
      <c r="G34" s="28"/>
      <c r="H34" s="41"/>
    </row>
    <row r="35" s="4" customFormat="1" spans="1:8">
      <c r="A35" s="36"/>
      <c r="B35" s="37" t="s">
        <v>158</v>
      </c>
      <c r="C35" s="37"/>
      <c r="D35" s="38"/>
      <c r="E35" s="39"/>
      <c r="F35" s="39"/>
      <c r="G35" s="28"/>
      <c r="H35" s="41"/>
    </row>
    <row r="36" s="3" customFormat="1" ht="51" customHeight="1" spans="1:8">
      <c r="A36" s="42">
        <v>1</v>
      </c>
      <c r="B36" s="52" t="s">
        <v>159</v>
      </c>
      <c r="C36" s="52" t="s">
        <v>160</v>
      </c>
      <c r="D36" s="53" t="s">
        <v>117</v>
      </c>
      <c r="E36" s="54">
        <f>49.96+17.73</f>
        <v>67.69</v>
      </c>
      <c r="F36" s="54"/>
      <c r="G36" s="46">
        <f>ROUND(E36*F36,2)</f>
        <v>0</v>
      </c>
      <c r="H36" s="47"/>
    </row>
    <row r="37" s="4" customFormat="1" spans="1:8">
      <c r="A37" s="36"/>
      <c r="B37" s="37" t="s">
        <v>161</v>
      </c>
      <c r="C37" s="37"/>
      <c r="D37" s="38"/>
      <c r="E37" s="39"/>
      <c r="F37" s="39"/>
      <c r="G37" s="28"/>
      <c r="H37" s="41"/>
    </row>
    <row r="38" s="2" customFormat="1" ht="52" customHeight="1" spans="1:8">
      <c r="A38" s="42">
        <v>1</v>
      </c>
      <c r="B38" s="43" t="s">
        <v>162</v>
      </c>
      <c r="C38" s="55" t="s">
        <v>163</v>
      </c>
      <c r="D38" s="53" t="s">
        <v>117</v>
      </c>
      <c r="E38" s="54">
        <f>49.96+17.73</f>
        <v>67.69</v>
      </c>
      <c r="F38" s="45"/>
      <c r="G38" s="46"/>
      <c r="H38" s="48"/>
    </row>
    <row r="39" s="2" customFormat="1" ht="39" customHeight="1" spans="1:8">
      <c r="A39" s="42">
        <v>2</v>
      </c>
      <c r="B39" s="43" t="s">
        <v>164</v>
      </c>
      <c r="C39" s="55" t="s">
        <v>165</v>
      </c>
      <c r="D39" s="53" t="s">
        <v>31</v>
      </c>
      <c r="E39" s="54">
        <v>12.7</v>
      </c>
      <c r="F39" s="45"/>
      <c r="G39" s="46"/>
      <c r="H39" s="48"/>
    </row>
    <row r="40" s="2" customFormat="1" ht="49" customHeight="1" spans="1:8">
      <c r="A40" s="42">
        <v>3</v>
      </c>
      <c r="B40" s="43" t="s">
        <v>166</v>
      </c>
      <c r="C40" s="55" t="s">
        <v>167</v>
      </c>
      <c r="D40" s="53" t="s">
        <v>15</v>
      </c>
      <c r="E40" s="54">
        <v>9.08</v>
      </c>
      <c r="F40" s="45">
        <v>267.9</v>
      </c>
      <c r="G40" s="56">
        <f>ROUND(E40*F40,2)</f>
        <v>2432.53</v>
      </c>
      <c r="H40" s="47"/>
    </row>
    <row r="41" s="2" customFormat="1" ht="57" customHeight="1" spans="1:8">
      <c r="A41" s="42">
        <v>4</v>
      </c>
      <c r="B41" s="43" t="s">
        <v>29</v>
      </c>
      <c r="C41" s="55" t="s">
        <v>30</v>
      </c>
      <c r="D41" s="53" t="s">
        <v>31</v>
      </c>
      <c r="E41" s="54">
        <v>7.5</v>
      </c>
      <c r="F41" s="45"/>
      <c r="G41" s="46"/>
      <c r="H41" s="48"/>
    </row>
    <row r="42" s="2" customFormat="1" ht="49" customHeight="1" spans="1:8">
      <c r="A42" s="42">
        <v>5</v>
      </c>
      <c r="B42" s="43" t="s">
        <v>41</v>
      </c>
      <c r="C42" s="55" t="s">
        <v>42</v>
      </c>
      <c r="D42" s="53" t="s">
        <v>15</v>
      </c>
      <c r="E42" s="54">
        <f>E38+E41*0.5</f>
        <v>71.44</v>
      </c>
      <c r="F42" s="45"/>
      <c r="G42" s="46"/>
      <c r="H42" s="48"/>
    </row>
    <row r="43" s="4" customFormat="1" ht="36" spans="1:8">
      <c r="A43" s="36"/>
      <c r="B43" s="37" t="s">
        <v>168</v>
      </c>
      <c r="C43" s="37"/>
      <c r="D43" s="38"/>
      <c r="E43" s="39"/>
      <c r="F43" s="39"/>
      <c r="G43" s="28"/>
      <c r="H43" s="41"/>
    </row>
    <row r="44" s="4" customFormat="1" spans="1:8">
      <c r="A44" s="36"/>
      <c r="B44" s="37" t="s">
        <v>158</v>
      </c>
      <c r="C44" s="37"/>
      <c r="D44" s="38"/>
      <c r="E44" s="39"/>
      <c r="F44" s="39"/>
      <c r="G44" s="28"/>
      <c r="H44" s="41"/>
    </row>
    <row r="45" s="3" customFormat="1" ht="51" customHeight="1" spans="1:8">
      <c r="A45" s="42">
        <v>1</v>
      </c>
      <c r="B45" s="52" t="s">
        <v>159</v>
      </c>
      <c r="C45" s="52" t="s">
        <v>160</v>
      </c>
      <c r="D45" s="53" t="s">
        <v>117</v>
      </c>
      <c r="E45" s="54">
        <f>11.19+12.32+12.64+12.18+26.38+151.28</f>
        <v>225.99</v>
      </c>
      <c r="F45" s="54"/>
      <c r="G45" s="46">
        <f>ROUND(E45*F45,2)</f>
        <v>0</v>
      </c>
      <c r="H45" s="47"/>
    </row>
    <row r="46" s="3" customFormat="1" ht="51" customHeight="1" spans="1:8">
      <c r="A46" s="42">
        <v>2</v>
      </c>
      <c r="B46" s="52" t="s">
        <v>169</v>
      </c>
      <c r="C46" s="52" t="s">
        <v>170</v>
      </c>
      <c r="D46" s="53" t="s">
        <v>117</v>
      </c>
      <c r="E46" s="54">
        <v>79.8</v>
      </c>
      <c r="F46" s="54"/>
      <c r="G46" s="46"/>
      <c r="H46" s="47"/>
    </row>
    <row r="47" s="3" customFormat="1" ht="51" customHeight="1" spans="1:8">
      <c r="A47" s="42">
        <v>3</v>
      </c>
      <c r="B47" s="52" t="s">
        <v>171</v>
      </c>
      <c r="C47" s="52" t="s">
        <v>172</v>
      </c>
      <c r="D47" s="53" t="s">
        <v>31</v>
      </c>
      <c r="E47" s="54">
        <f>29.22+37.89+38.65+17.69</f>
        <v>123.45</v>
      </c>
      <c r="F47" s="54"/>
      <c r="G47" s="46"/>
      <c r="H47" s="47"/>
    </row>
    <row r="48" s="1" customFormat="1" spans="1:8">
      <c r="A48" s="36"/>
      <c r="B48" s="37" t="s">
        <v>161</v>
      </c>
      <c r="C48" s="37"/>
      <c r="D48" s="38"/>
      <c r="E48" s="39"/>
      <c r="F48" s="39"/>
      <c r="G48" s="28"/>
      <c r="H48" s="41"/>
    </row>
    <row r="49" s="2" customFormat="1" ht="52" customHeight="1" spans="1:8">
      <c r="A49" s="42">
        <v>1</v>
      </c>
      <c r="B49" s="43" t="s">
        <v>173</v>
      </c>
      <c r="C49" s="55" t="s">
        <v>163</v>
      </c>
      <c r="D49" s="53" t="s">
        <v>117</v>
      </c>
      <c r="E49" s="54">
        <f>(11.19+12.32+12.64+12.18+26.38+151.28)-114.06+65.85*0.2</f>
        <v>125.1</v>
      </c>
      <c r="F49" s="45"/>
      <c r="G49" s="46"/>
      <c r="H49" s="48"/>
    </row>
    <row r="50" s="2" customFormat="1" ht="52" customHeight="1" spans="1:8">
      <c r="A50" s="42">
        <v>2</v>
      </c>
      <c r="B50" s="43" t="s">
        <v>29</v>
      </c>
      <c r="C50" s="55" t="s">
        <v>30</v>
      </c>
      <c r="D50" s="53" t="s">
        <v>31</v>
      </c>
      <c r="E50" s="54">
        <f>3.7*4+7.5+8.8</f>
        <v>31.1</v>
      </c>
      <c r="F50" s="45"/>
      <c r="G50" s="46"/>
      <c r="H50" s="48"/>
    </row>
    <row r="51" s="2" customFormat="1" ht="52" customHeight="1" spans="1:8">
      <c r="A51" s="42">
        <v>3</v>
      </c>
      <c r="B51" s="43" t="s">
        <v>174</v>
      </c>
      <c r="C51" s="55" t="s">
        <v>175</v>
      </c>
      <c r="D51" s="53" t="s">
        <v>117</v>
      </c>
      <c r="E51" s="54">
        <v>114.06</v>
      </c>
      <c r="F51" s="45"/>
      <c r="G51" s="46"/>
      <c r="H51" s="48"/>
    </row>
    <row r="52" s="2" customFormat="1" ht="49" customHeight="1" spans="1:8">
      <c r="A52" s="42">
        <v>4</v>
      </c>
      <c r="B52" s="43" t="s">
        <v>176</v>
      </c>
      <c r="C52" s="55" t="s">
        <v>167</v>
      </c>
      <c r="D52" s="53" t="s">
        <v>15</v>
      </c>
      <c r="E52" s="54">
        <f>3.95+4.77</f>
        <v>8.72</v>
      </c>
      <c r="F52" s="45">
        <v>267.9</v>
      </c>
      <c r="G52" s="56">
        <f>ROUND(E52*F52,2)</f>
        <v>2336.09</v>
      </c>
      <c r="H52" s="47"/>
    </row>
    <row r="53" s="2" customFormat="1" ht="49" customHeight="1" spans="1:8">
      <c r="A53" s="42">
        <v>5</v>
      </c>
      <c r="B53" s="43" t="s">
        <v>177</v>
      </c>
      <c r="C53" s="55" t="s">
        <v>178</v>
      </c>
      <c r="D53" s="53" t="s">
        <v>31</v>
      </c>
      <c r="E53" s="54">
        <f>10.45+8.56</f>
        <v>19.01</v>
      </c>
      <c r="F53" s="45"/>
      <c r="G53" s="56"/>
      <c r="H53" s="47"/>
    </row>
    <row r="54" s="2" customFormat="1" ht="49" customHeight="1" spans="1:8">
      <c r="A54" s="42">
        <v>6</v>
      </c>
      <c r="B54" s="43" t="s">
        <v>179</v>
      </c>
      <c r="C54" s="55" t="s">
        <v>180</v>
      </c>
      <c r="D54" s="53" t="s">
        <v>117</v>
      </c>
      <c r="E54" s="54">
        <v>11.15</v>
      </c>
      <c r="F54" s="45"/>
      <c r="G54" s="56"/>
      <c r="H54" s="47"/>
    </row>
    <row r="55" s="2" customFormat="1" ht="39" customHeight="1" spans="1:8">
      <c r="A55" s="42">
        <v>7</v>
      </c>
      <c r="B55" s="43" t="s">
        <v>164</v>
      </c>
      <c r="C55" s="55" t="s">
        <v>165</v>
      </c>
      <c r="D55" s="53" t="s">
        <v>31</v>
      </c>
      <c r="E55" s="54">
        <f>37.71+38.62+28.26</f>
        <v>104.59</v>
      </c>
      <c r="F55" s="45"/>
      <c r="G55" s="46"/>
      <c r="H55" s="48"/>
    </row>
    <row r="56" s="2" customFormat="1" ht="49" customHeight="1" spans="1:8">
      <c r="A56" s="42">
        <v>8</v>
      </c>
      <c r="B56" s="43" t="s">
        <v>41</v>
      </c>
      <c r="C56" s="55" t="s">
        <v>42</v>
      </c>
      <c r="D56" s="53" t="s">
        <v>15</v>
      </c>
      <c r="E56" s="54">
        <f>E49+E50*0.5</f>
        <v>140.65</v>
      </c>
      <c r="F56" s="45"/>
      <c r="G56" s="46"/>
      <c r="H56" s="48"/>
    </row>
    <row r="57" s="4" customFormat="1" spans="1:8">
      <c r="A57" s="36"/>
      <c r="B57" s="37" t="s">
        <v>181</v>
      </c>
      <c r="C57" s="37"/>
      <c r="D57" s="38"/>
      <c r="E57" s="39"/>
      <c r="F57" s="39"/>
      <c r="G57" s="28"/>
      <c r="H57" s="41"/>
    </row>
    <row r="58" s="4" customFormat="1" spans="1:8">
      <c r="A58" s="36"/>
      <c r="B58" s="37" t="s">
        <v>158</v>
      </c>
      <c r="C58" s="37"/>
      <c r="D58" s="38"/>
      <c r="E58" s="39"/>
      <c r="F58" s="39"/>
      <c r="G58" s="28"/>
      <c r="H58" s="41"/>
    </row>
    <row r="59" s="3" customFormat="1" ht="51" customHeight="1" spans="1:8">
      <c r="A59" s="42">
        <v>1</v>
      </c>
      <c r="B59" s="52" t="s">
        <v>159</v>
      </c>
      <c r="C59" s="52" t="s">
        <v>160</v>
      </c>
      <c r="D59" s="53" t="s">
        <v>117</v>
      </c>
      <c r="E59" s="54">
        <v>85.66</v>
      </c>
      <c r="F59" s="54"/>
      <c r="G59" s="46">
        <f>ROUND(E59*F59,2)</f>
        <v>0</v>
      </c>
      <c r="H59" s="47"/>
    </row>
    <row r="60" s="1" customFormat="1" spans="1:8">
      <c r="A60" s="36"/>
      <c r="B60" s="37" t="s">
        <v>161</v>
      </c>
      <c r="C60" s="37"/>
      <c r="D60" s="38"/>
      <c r="E60" s="39"/>
      <c r="F60" s="39"/>
      <c r="G60" s="28"/>
      <c r="H60" s="41"/>
    </row>
    <row r="61" s="2" customFormat="1" ht="52" customHeight="1" spans="1:8">
      <c r="A61" s="42">
        <v>1</v>
      </c>
      <c r="B61" s="43" t="s">
        <v>173</v>
      </c>
      <c r="C61" s="55" t="s">
        <v>163</v>
      </c>
      <c r="D61" s="53" t="s">
        <v>117</v>
      </c>
      <c r="E61" s="54">
        <f>85.66-39.75+24.52*0.2</f>
        <v>50.814</v>
      </c>
      <c r="F61" s="45"/>
      <c r="G61" s="46"/>
      <c r="H61" s="48"/>
    </row>
    <row r="62" s="2" customFormat="1" ht="52" customHeight="1" spans="1:8">
      <c r="A62" s="42">
        <v>2</v>
      </c>
      <c r="B62" s="43" t="s">
        <v>29</v>
      </c>
      <c r="C62" s="55" t="s">
        <v>30</v>
      </c>
      <c r="D62" s="53" t="s">
        <v>31</v>
      </c>
      <c r="E62" s="54">
        <f>10.42+8.67</f>
        <v>19.09</v>
      </c>
      <c r="F62" s="45"/>
      <c r="G62" s="46"/>
      <c r="H62" s="48"/>
    </row>
    <row r="63" s="2" customFormat="1" ht="52" customHeight="1" spans="1:8">
      <c r="A63" s="42">
        <v>3</v>
      </c>
      <c r="B63" s="43" t="s">
        <v>174</v>
      </c>
      <c r="C63" s="55" t="s">
        <v>175</v>
      </c>
      <c r="D63" s="53" t="s">
        <v>117</v>
      </c>
      <c r="E63" s="54">
        <v>39.75</v>
      </c>
      <c r="F63" s="45"/>
      <c r="G63" s="46"/>
      <c r="H63" s="48"/>
    </row>
    <row r="64" s="2" customFormat="1" ht="39" customHeight="1" spans="1:8">
      <c r="A64" s="42">
        <v>4</v>
      </c>
      <c r="B64" s="43" t="s">
        <v>164</v>
      </c>
      <c r="C64" s="55" t="s">
        <v>165</v>
      </c>
      <c r="D64" s="53" t="s">
        <v>31</v>
      </c>
      <c r="E64" s="54">
        <v>24.52</v>
      </c>
      <c r="F64" s="45"/>
      <c r="G64" s="46"/>
      <c r="H64" s="48"/>
    </row>
    <row r="65" s="2" customFormat="1" ht="49" customHeight="1" spans="1:8">
      <c r="A65" s="42">
        <v>5</v>
      </c>
      <c r="B65" s="43" t="s">
        <v>41</v>
      </c>
      <c r="C65" s="55" t="s">
        <v>42</v>
      </c>
      <c r="D65" s="53" t="s">
        <v>15</v>
      </c>
      <c r="E65" s="54">
        <f>E61+E62*0.5</f>
        <v>60.359</v>
      </c>
      <c r="F65" s="45"/>
      <c r="G65" s="46"/>
      <c r="H65" s="48"/>
    </row>
    <row r="66" s="4" customFormat="1" spans="1:8">
      <c r="A66" s="36"/>
      <c r="B66" s="37" t="s">
        <v>182</v>
      </c>
      <c r="C66" s="37"/>
      <c r="D66" s="38"/>
      <c r="E66" s="39"/>
      <c r="F66" s="39"/>
      <c r="G66" s="28"/>
      <c r="H66" s="41"/>
    </row>
    <row r="67" s="4" customFormat="1" spans="1:8">
      <c r="A67" s="36"/>
      <c r="B67" s="37" t="s">
        <v>158</v>
      </c>
      <c r="C67" s="37"/>
      <c r="D67" s="38"/>
      <c r="E67" s="39"/>
      <c r="F67" s="39"/>
      <c r="G67" s="28"/>
      <c r="H67" s="41"/>
    </row>
    <row r="68" s="3" customFormat="1" ht="51" customHeight="1" spans="1:8">
      <c r="A68" s="42">
        <v>1</v>
      </c>
      <c r="B68" s="52" t="s">
        <v>159</v>
      </c>
      <c r="C68" s="52" t="s">
        <v>160</v>
      </c>
      <c r="D68" s="53" t="s">
        <v>117</v>
      </c>
      <c r="E68" s="54">
        <v>67.41</v>
      </c>
      <c r="F68" s="54"/>
      <c r="G68" s="46">
        <f>ROUND(E68*F68,2)</f>
        <v>0</v>
      </c>
      <c r="H68" s="47"/>
    </row>
    <row r="69" s="1" customFormat="1" spans="1:8">
      <c r="A69" s="36"/>
      <c r="B69" s="37" t="s">
        <v>161</v>
      </c>
      <c r="C69" s="37"/>
      <c r="D69" s="38"/>
      <c r="E69" s="39"/>
      <c r="F69" s="39"/>
      <c r="G69" s="28"/>
      <c r="H69" s="41"/>
    </row>
    <row r="70" s="2" customFormat="1" ht="52" customHeight="1" spans="1:8">
      <c r="A70" s="42">
        <v>1</v>
      </c>
      <c r="B70" s="43" t="s">
        <v>173</v>
      </c>
      <c r="C70" s="55" t="s">
        <v>163</v>
      </c>
      <c r="D70" s="53" t="s">
        <v>117</v>
      </c>
      <c r="E70" s="54">
        <v>67.41</v>
      </c>
      <c r="F70" s="45"/>
      <c r="G70" s="46"/>
      <c r="H70" s="48"/>
    </row>
    <row r="71" s="2" customFormat="1" ht="52" customHeight="1" spans="1:8">
      <c r="A71" s="42">
        <v>2</v>
      </c>
      <c r="B71" s="43" t="s">
        <v>29</v>
      </c>
      <c r="C71" s="55" t="s">
        <v>30</v>
      </c>
      <c r="D71" s="53" t="s">
        <v>31</v>
      </c>
      <c r="E71" s="54">
        <v>7.5</v>
      </c>
      <c r="F71" s="45"/>
      <c r="G71" s="46"/>
      <c r="H71" s="48"/>
    </row>
    <row r="72" s="2" customFormat="1" ht="39" customHeight="1" spans="1:8">
      <c r="A72" s="42">
        <v>3</v>
      </c>
      <c r="B72" s="43" t="s">
        <v>164</v>
      </c>
      <c r="C72" s="55" t="s">
        <v>165</v>
      </c>
      <c r="D72" s="53" t="s">
        <v>31</v>
      </c>
      <c r="E72" s="54">
        <v>24.8</v>
      </c>
      <c r="F72" s="45"/>
      <c r="G72" s="46"/>
      <c r="H72" s="48"/>
    </row>
    <row r="73" s="2" customFormat="1" ht="49" customHeight="1" spans="1:8">
      <c r="A73" s="42">
        <v>4</v>
      </c>
      <c r="B73" s="43" t="s">
        <v>41</v>
      </c>
      <c r="C73" s="55" t="s">
        <v>42</v>
      </c>
      <c r="D73" s="53" t="s">
        <v>15</v>
      </c>
      <c r="E73" s="54">
        <f>E70+7.5*0.5</f>
        <v>71.16</v>
      </c>
      <c r="F73" s="45"/>
      <c r="G73" s="46"/>
      <c r="H73" s="48"/>
    </row>
    <row r="74" s="1" customFormat="1" spans="1:8">
      <c r="A74" s="36"/>
      <c r="B74" s="37" t="s">
        <v>183</v>
      </c>
      <c r="C74" s="37"/>
      <c r="D74" s="38"/>
      <c r="E74" s="39"/>
      <c r="F74" s="39"/>
      <c r="G74" s="28"/>
      <c r="H74" s="41"/>
    </row>
    <row r="75" s="1" customFormat="1" spans="1:8">
      <c r="A75" s="36"/>
      <c r="B75" s="37" t="s">
        <v>158</v>
      </c>
      <c r="C75" s="37"/>
      <c r="D75" s="38"/>
      <c r="E75" s="39"/>
      <c r="F75" s="39"/>
      <c r="G75" s="28"/>
      <c r="H75" s="41"/>
    </row>
    <row r="76" s="3" customFormat="1" ht="51" customHeight="1" spans="1:8">
      <c r="A76" s="42">
        <v>1</v>
      </c>
      <c r="B76" s="52" t="s">
        <v>159</v>
      </c>
      <c r="C76" s="52" t="s">
        <v>160</v>
      </c>
      <c r="D76" s="53" t="s">
        <v>117</v>
      </c>
      <c r="E76" s="54">
        <v>25.11</v>
      </c>
      <c r="F76" s="54"/>
      <c r="G76" s="46">
        <f>ROUND(E76*F76,2)</f>
        <v>0</v>
      </c>
      <c r="H76" s="47"/>
    </row>
    <row r="77" s="1" customFormat="1" spans="1:8">
      <c r="A77" s="36"/>
      <c r="B77" s="37" t="s">
        <v>161</v>
      </c>
      <c r="C77" s="37"/>
      <c r="D77" s="38"/>
      <c r="E77" s="39"/>
      <c r="F77" s="39"/>
      <c r="G77" s="28"/>
      <c r="H77" s="41"/>
    </row>
    <row r="78" s="2" customFormat="1" ht="52" customHeight="1" spans="1:8">
      <c r="A78" s="42">
        <v>1</v>
      </c>
      <c r="B78" s="43" t="s">
        <v>173</v>
      </c>
      <c r="C78" s="55" t="s">
        <v>163</v>
      </c>
      <c r="D78" s="53" t="s">
        <v>117</v>
      </c>
      <c r="E78" s="54">
        <v>25.11</v>
      </c>
      <c r="F78" s="45"/>
      <c r="G78" s="46"/>
      <c r="H78" s="48"/>
    </row>
    <row r="79" s="2" customFormat="1" ht="52" customHeight="1" spans="1:8">
      <c r="A79" s="42">
        <v>2</v>
      </c>
      <c r="B79" s="43" t="s">
        <v>29</v>
      </c>
      <c r="C79" s="55" t="s">
        <v>30</v>
      </c>
      <c r="D79" s="53" t="s">
        <v>31</v>
      </c>
      <c r="E79" s="54">
        <v>4</v>
      </c>
      <c r="F79" s="45"/>
      <c r="G79" s="46"/>
      <c r="H79" s="48"/>
    </row>
    <row r="80" s="2" customFormat="1" ht="49" customHeight="1" spans="1:8">
      <c r="A80" s="42">
        <v>3</v>
      </c>
      <c r="B80" s="43" t="s">
        <v>41</v>
      </c>
      <c r="C80" s="55" t="s">
        <v>42</v>
      </c>
      <c r="D80" s="53" t="s">
        <v>15</v>
      </c>
      <c r="E80" s="54">
        <f>E78+E79*0.5</f>
        <v>27.11</v>
      </c>
      <c r="F80" s="45"/>
      <c r="G80" s="46"/>
      <c r="H80" s="48"/>
    </row>
    <row r="81" s="1" customFormat="1" ht="24" spans="1:8">
      <c r="A81" s="36"/>
      <c r="B81" s="37" t="s">
        <v>184</v>
      </c>
      <c r="C81" s="37"/>
      <c r="D81" s="38"/>
      <c r="E81" s="39"/>
      <c r="F81" s="39"/>
      <c r="G81" s="28"/>
      <c r="H81" s="41"/>
    </row>
    <row r="82" s="1" customFormat="1" spans="1:8">
      <c r="A82" s="36"/>
      <c r="B82" s="37" t="s">
        <v>158</v>
      </c>
      <c r="C82" s="37"/>
      <c r="D82" s="38"/>
      <c r="E82" s="39"/>
      <c r="F82" s="39"/>
      <c r="G82" s="28"/>
      <c r="H82" s="41"/>
    </row>
    <row r="83" s="3" customFormat="1" ht="51" customHeight="1" spans="1:8">
      <c r="A83" s="42">
        <v>1</v>
      </c>
      <c r="B83" s="52" t="s">
        <v>159</v>
      </c>
      <c r="C83" s="52" t="s">
        <v>160</v>
      </c>
      <c r="D83" s="53" t="s">
        <v>117</v>
      </c>
      <c r="E83" s="54">
        <f>10.55+8.37+7.86+67.38</f>
        <v>94.16</v>
      </c>
      <c r="F83" s="54"/>
      <c r="G83" s="46">
        <f>ROUND(E83*F83,2)</f>
        <v>0</v>
      </c>
      <c r="H83" s="47"/>
    </row>
    <row r="84" s="3" customFormat="1" ht="51" customHeight="1" spans="1:8">
      <c r="A84" s="42">
        <v>2</v>
      </c>
      <c r="B84" s="52" t="s">
        <v>185</v>
      </c>
      <c r="C84" s="52" t="s">
        <v>186</v>
      </c>
      <c r="D84" s="53" t="s">
        <v>117</v>
      </c>
      <c r="E84" s="54">
        <f>101.35+16.2</f>
        <v>117.55</v>
      </c>
      <c r="F84" s="54"/>
      <c r="G84" s="46"/>
      <c r="H84" s="47"/>
    </row>
    <row r="85" s="3" customFormat="1" ht="51" customHeight="1" spans="1:8">
      <c r="A85" s="42">
        <v>3</v>
      </c>
      <c r="B85" s="52" t="s">
        <v>171</v>
      </c>
      <c r="C85" s="52" t="s">
        <v>172</v>
      </c>
      <c r="D85" s="53" t="s">
        <v>31</v>
      </c>
      <c r="E85" s="54">
        <f>41.76+32.05</f>
        <v>73.81</v>
      </c>
      <c r="F85" s="54"/>
      <c r="G85" s="46"/>
      <c r="H85" s="47"/>
    </row>
    <row r="86" s="1" customFormat="1" spans="1:8">
      <c r="A86" s="36"/>
      <c r="B86" s="37" t="s">
        <v>161</v>
      </c>
      <c r="C86" s="37"/>
      <c r="D86" s="38"/>
      <c r="E86" s="39"/>
      <c r="F86" s="39"/>
      <c r="G86" s="28"/>
      <c r="H86" s="41"/>
    </row>
    <row r="87" s="2" customFormat="1" ht="52" customHeight="1" spans="1:8">
      <c r="A87" s="42">
        <v>1</v>
      </c>
      <c r="B87" s="43" t="s">
        <v>173</v>
      </c>
      <c r="C87" s="55" t="s">
        <v>163</v>
      </c>
      <c r="D87" s="53" t="s">
        <v>117</v>
      </c>
      <c r="E87" s="54">
        <f>101.35+16.2+67.38-60.92+35.87*0.2</f>
        <v>131.184</v>
      </c>
      <c r="F87" s="45"/>
      <c r="G87" s="46"/>
      <c r="H87" s="48"/>
    </row>
    <row r="88" s="2" customFormat="1" ht="52" customHeight="1" spans="1:8">
      <c r="A88" s="42">
        <v>2</v>
      </c>
      <c r="B88" s="43" t="s">
        <v>29</v>
      </c>
      <c r="C88" s="55" t="s">
        <v>30</v>
      </c>
      <c r="D88" s="53" t="s">
        <v>31</v>
      </c>
      <c r="E88" s="54">
        <f>3.7+4.5+5.5</f>
        <v>13.7</v>
      </c>
      <c r="F88" s="45"/>
      <c r="G88" s="46"/>
      <c r="H88" s="48"/>
    </row>
    <row r="89" s="2" customFormat="1" ht="52" customHeight="1" spans="1:8">
      <c r="A89" s="42">
        <v>3</v>
      </c>
      <c r="B89" s="43" t="s">
        <v>174</v>
      </c>
      <c r="C89" s="55" t="s">
        <v>175</v>
      </c>
      <c r="D89" s="53" t="s">
        <v>117</v>
      </c>
      <c r="E89" s="54">
        <v>60.92</v>
      </c>
      <c r="F89" s="45"/>
      <c r="G89" s="46"/>
      <c r="H89" s="48"/>
    </row>
    <row r="90" s="2" customFormat="1" ht="49" customHeight="1" spans="1:8">
      <c r="A90" s="42">
        <v>4</v>
      </c>
      <c r="B90" s="43" t="s">
        <v>176</v>
      </c>
      <c r="C90" s="55" t="s">
        <v>167</v>
      </c>
      <c r="D90" s="53" t="s">
        <v>15</v>
      </c>
      <c r="E90" s="54">
        <v>3.39</v>
      </c>
      <c r="F90" s="45">
        <v>267.9</v>
      </c>
      <c r="G90" s="56">
        <f>ROUND(E90*F90,2)</f>
        <v>908.18</v>
      </c>
      <c r="H90" s="47"/>
    </row>
    <row r="91" s="2" customFormat="1" ht="49" customHeight="1" spans="1:8">
      <c r="A91" s="42">
        <v>5</v>
      </c>
      <c r="B91" s="43" t="s">
        <v>177</v>
      </c>
      <c r="C91" s="55" t="s">
        <v>178</v>
      </c>
      <c r="D91" s="53" t="s">
        <v>31</v>
      </c>
      <c r="E91" s="54">
        <v>7.35</v>
      </c>
      <c r="F91" s="45"/>
      <c r="G91" s="56"/>
      <c r="H91" s="47"/>
    </row>
    <row r="92" s="2" customFormat="1" ht="49" customHeight="1" spans="1:8">
      <c r="A92" s="42">
        <v>6</v>
      </c>
      <c r="B92" s="43" t="s">
        <v>187</v>
      </c>
      <c r="C92" s="55" t="s">
        <v>180</v>
      </c>
      <c r="D92" s="53" t="s">
        <v>117</v>
      </c>
      <c r="E92" s="54">
        <v>14.38</v>
      </c>
      <c r="F92" s="45"/>
      <c r="G92" s="56"/>
      <c r="H92" s="47"/>
    </row>
    <row r="93" s="2" customFormat="1" ht="39" customHeight="1" spans="1:8">
      <c r="A93" s="42">
        <v>7</v>
      </c>
      <c r="B93" s="43" t="s">
        <v>164</v>
      </c>
      <c r="C93" s="55" t="s">
        <v>165</v>
      </c>
      <c r="D93" s="53" t="s">
        <v>31</v>
      </c>
      <c r="E93" s="54">
        <f>31.75+31.91</f>
        <v>63.66</v>
      </c>
      <c r="F93" s="45"/>
      <c r="G93" s="46"/>
      <c r="H93" s="48"/>
    </row>
    <row r="94" s="2" customFormat="1" ht="49" customHeight="1" spans="1:8">
      <c r="A94" s="42">
        <v>8</v>
      </c>
      <c r="B94" s="43" t="s">
        <v>41</v>
      </c>
      <c r="C94" s="55" t="s">
        <v>42</v>
      </c>
      <c r="D94" s="53" t="s">
        <v>15</v>
      </c>
      <c r="E94" s="54">
        <f>E87+E88*0.5</f>
        <v>138.034</v>
      </c>
      <c r="F94" s="45"/>
      <c r="G94" s="46"/>
      <c r="H94" s="48"/>
    </row>
    <row r="95" s="1" customFormat="1" spans="1:8">
      <c r="A95" s="36"/>
      <c r="B95" s="37" t="s">
        <v>188</v>
      </c>
      <c r="C95" s="37"/>
      <c r="D95" s="38"/>
      <c r="E95" s="39"/>
      <c r="F95" s="39"/>
      <c r="G95" s="28"/>
      <c r="H95" s="41"/>
    </row>
    <row r="96" s="1" customFormat="1" spans="1:8">
      <c r="A96" s="36"/>
      <c r="B96" s="37" t="s">
        <v>158</v>
      </c>
      <c r="C96" s="37"/>
      <c r="D96" s="38"/>
      <c r="E96" s="39"/>
      <c r="F96" s="39"/>
      <c r="G96" s="28"/>
      <c r="H96" s="41"/>
    </row>
    <row r="97" s="3" customFormat="1" ht="51" customHeight="1" spans="1:8">
      <c r="A97" s="42">
        <v>1</v>
      </c>
      <c r="B97" s="52" t="s">
        <v>189</v>
      </c>
      <c r="C97" s="52" t="s">
        <v>190</v>
      </c>
      <c r="D97" s="53" t="s">
        <v>117</v>
      </c>
      <c r="E97" s="54">
        <v>34.45</v>
      </c>
      <c r="F97" s="54"/>
      <c r="G97" s="46"/>
      <c r="H97" s="47"/>
    </row>
    <row r="98" s="3" customFormat="1" ht="51" customHeight="1" spans="1:8">
      <c r="A98" s="42">
        <v>2</v>
      </c>
      <c r="B98" s="52" t="s">
        <v>171</v>
      </c>
      <c r="C98" s="52" t="s">
        <v>172</v>
      </c>
      <c r="D98" s="53" t="s">
        <v>31</v>
      </c>
      <c r="E98" s="54">
        <f>2.67+1.79+1.23+1.49+2+2.52</f>
        <v>11.7</v>
      </c>
      <c r="F98" s="54"/>
      <c r="G98" s="46"/>
      <c r="H98" s="47"/>
    </row>
    <row r="99" s="1" customFormat="1" spans="1:8">
      <c r="A99" s="36"/>
      <c r="B99" s="37" t="s">
        <v>161</v>
      </c>
      <c r="C99" s="37"/>
      <c r="D99" s="38"/>
      <c r="E99" s="39"/>
      <c r="F99" s="39"/>
      <c r="G99" s="28"/>
      <c r="H99" s="41"/>
    </row>
    <row r="100" s="2" customFormat="1" ht="52" customHeight="1" spans="1:8">
      <c r="A100" s="42">
        <v>1</v>
      </c>
      <c r="B100" s="43" t="s">
        <v>173</v>
      </c>
      <c r="C100" s="55" t="s">
        <v>163</v>
      </c>
      <c r="D100" s="53" t="s">
        <v>117</v>
      </c>
      <c r="E100" s="54">
        <f>(34.45+10.88*0.2)</f>
        <v>36.626</v>
      </c>
      <c r="F100" s="45"/>
      <c r="G100" s="46"/>
      <c r="H100" s="48"/>
    </row>
    <row r="101" s="2" customFormat="1" ht="49" customHeight="1" spans="1:8">
      <c r="A101" s="42">
        <v>2</v>
      </c>
      <c r="B101" s="43" t="s">
        <v>176</v>
      </c>
      <c r="C101" s="55" t="s">
        <v>167</v>
      </c>
      <c r="D101" s="53" t="s">
        <v>15</v>
      </c>
      <c r="E101" s="54">
        <v>12.3</v>
      </c>
      <c r="F101" s="45">
        <v>267.9</v>
      </c>
      <c r="G101" s="56">
        <f>ROUND(E101*F101,2)</f>
        <v>3295.17</v>
      </c>
      <c r="H101" s="47"/>
    </row>
    <row r="102" s="2" customFormat="1" ht="49" customHeight="1" spans="1:8">
      <c r="A102" s="42">
        <v>3</v>
      </c>
      <c r="B102" s="43" t="s">
        <v>177</v>
      </c>
      <c r="C102" s="55" t="s">
        <v>178</v>
      </c>
      <c r="D102" s="53" t="s">
        <v>31</v>
      </c>
      <c r="E102" s="54">
        <v>10.88</v>
      </c>
      <c r="F102" s="45"/>
      <c r="G102" s="56"/>
      <c r="H102" s="47"/>
    </row>
    <row r="103" s="2" customFormat="1" ht="49" customHeight="1" spans="1:8">
      <c r="A103" s="42">
        <v>4</v>
      </c>
      <c r="B103" s="43" t="s">
        <v>41</v>
      </c>
      <c r="C103" s="55" t="s">
        <v>42</v>
      </c>
      <c r="D103" s="53" t="s">
        <v>15</v>
      </c>
      <c r="E103" s="54">
        <f>E100</f>
        <v>36.626</v>
      </c>
      <c r="F103" s="45"/>
      <c r="G103" s="46"/>
      <c r="H103" s="48"/>
    </row>
    <row r="104" s="1" customFormat="1" ht="24" spans="1:8">
      <c r="A104" s="36"/>
      <c r="B104" s="37" t="s">
        <v>191</v>
      </c>
      <c r="C104" s="37"/>
      <c r="D104" s="38"/>
      <c r="E104" s="39"/>
      <c r="F104" s="39"/>
      <c r="G104" s="28"/>
      <c r="H104" s="41"/>
    </row>
    <row r="105" s="1" customFormat="1" spans="1:8">
      <c r="A105" s="36"/>
      <c r="B105" s="37" t="s">
        <v>158</v>
      </c>
      <c r="C105" s="37"/>
      <c r="D105" s="38"/>
      <c r="E105" s="39"/>
      <c r="F105" s="39"/>
      <c r="G105" s="28"/>
      <c r="H105" s="41"/>
    </row>
    <row r="106" s="3" customFormat="1" ht="51" customHeight="1" spans="1:8">
      <c r="A106" s="42">
        <v>1</v>
      </c>
      <c r="B106" s="52" t="s">
        <v>159</v>
      </c>
      <c r="C106" s="52" t="s">
        <v>160</v>
      </c>
      <c r="D106" s="53" t="s">
        <v>117</v>
      </c>
      <c r="E106" s="54">
        <v>34.95</v>
      </c>
      <c r="F106" s="54"/>
      <c r="G106" s="46">
        <f>ROUND(E106*F106,2)</f>
        <v>0</v>
      </c>
      <c r="H106" s="47"/>
    </row>
    <row r="107" s="1" customFormat="1" spans="1:8">
      <c r="A107" s="36"/>
      <c r="B107" s="37" t="s">
        <v>161</v>
      </c>
      <c r="C107" s="37"/>
      <c r="D107" s="38"/>
      <c r="E107" s="39"/>
      <c r="F107" s="39"/>
      <c r="G107" s="28"/>
      <c r="H107" s="41"/>
    </row>
    <row r="108" s="2" customFormat="1" ht="52" customHeight="1" spans="1:8">
      <c r="A108" s="42">
        <v>1</v>
      </c>
      <c r="B108" s="43" t="s">
        <v>173</v>
      </c>
      <c r="C108" s="55" t="s">
        <v>192</v>
      </c>
      <c r="D108" s="53" t="s">
        <v>117</v>
      </c>
      <c r="E108" s="54">
        <f>34.95+2.8*(0.1+0.1+0.1)*2</f>
        <v>36.63</v>
      </c>
      <c r="F108" s="45"/>
      <c r="G108" s="46"/>
      <c r="H108" s="48"/>
    </row>
    <row r="109" s="2" customFormat="1" ht="39" customHeight="1" spans="1:8">
      <c r="A109" s="42">
        <v>2</v>
      </c>
      <c r="B109" s="43" t="s">
        <v>164</v>
      </c>
      <c r="C109" s="55" t="s">
        <v>165</v>
      </c>
      <c r="D109" s="53" t="s">
        <v>31</v>
      </c>
      <c r="E109" s="54">
        <f>11.79+11.93</f>
        <v>23.72</v>
      </c>
      <c r="F109" s="45"/>
      <c r="G109" s="46"/>
      <c r="H109" s="48"/>
    </row>
    <row r="110" s="2" customFormat="1" ht="49" customHeight="1" spans="1:8">
      <c r="A110" s="42">
        <v>3</v>
      </c>
      <c r="B110" s="43" t="s">
        <v>193</v>
      </c>
      <c r="C110" s="55" t="s">
        <v>194</v>
      </c>
      <c r="D110" s="53" t="s">
        <v>15</v>
      </c>
      <c r="E110" s="54">
        <f>E108</f>
        <v>36.63</v>
      </c>
      <c r="F110" s="45"/>
      <c r="G110" s="46"/>
      <c r="H110" s="48"/>
    </row>
    <row r="111" s="4" customFormat="1" spans="1:8">
      <c r="A111" s="36"/>
      <c r="B111" s="37" t="s">
        <v>195</v>
      </c>
      <c r="C111" s="37"/>
      <c r="D111" s="38"/>
      <c r="E111" s="39"/>
      <c r="F111" s="39"/>
      <c r="G111" s="57"/>
      <c r="H111" s="41"/>
    </row>
    <row r="112" s="2" customFormat="1" ht="55" customHeight="1" spans="1:8">
      <c r="A112" s="36">
        <v>1</v>
      </c>
      <c r="B112" s="37" t="s">
        <v>196</v>
      </c>
      <c r="C112" s="58" t="s">
        <v>197</v>
      </c>
      <c r="D112" s="38" t="s">
        <v>31</v>
      </c>
      <c r="E112" s="39"/>
      <c r="F112" s="39"/>
      <c r="G112" s="57">
        <f t="shared" ref="G112:G115" si="1">ROUND(E112*F112,2)</f>
        <v>0</v>
      </c>
      <c r="H112" s="41"/>
    </row>
    <row r="113" s="2" customFormat="1" ht="78" customHeight="1" spans="1:8">
      <c r="A113" s="36">
        <v>2</v>
      </c>
      <c r="B113" s="37" t="s">
        <v>198</v>
      </c>
      <c r="C113" s="58" t="s">
        <v>199</v>
      </c>
      <c r="D113" s="38" t="s">
        <v>117</v>
      </c>
      <c r="E113" s="39"/>
      <c r="F113" s="39"/>
      <c r="G113" s="57">
        <f t="shared" si="1"/>
        <v>0</v>
      </c>
      <c r="H113" s="41"/>
    </row>
    <row r="114" s="2" customFormat="1" ht="78" customHeight="1" spans="1:8">
      <c r="A114" s="36">
        <v>3</v>
      </c>
      <c r="B114" s="37" t="s">
        <v>200</v>
      </c>
      <c r="C114" s="58" t="s">
        <v>201</v>
      </c>
      <c r="D114" s="38" t="s">
        <v>117</v>
      </c>
      <c r="E114" s="39"/>
      <c r="F114" s="39"/>
      <c r="G114" s="57">
        <f t="shared" si="1"/>
        <v>0</v>
      </c>
      <c r="H114" s="41"/>
    </row>
    <row r="115" s="2" customFormat="1" ht="63" customHeight="1" spans="1:8">
      <c r="A115" s="36">
        <v>4</v>
      </c>
      <c r="B115" s="37" t="s">
        <v>202</v>
      </c>
      <c r="C115" s="58" t="s">
        <v>203</v>
      </c>
      <c r="D115" s="38" t="s">
        <v>154</v>
      </c>
      <c r="E115" s="39"/>
      <c r="F115" s="39"/>
      <c r="G115" s="57">
        <f t="shared" si="1"/>
        <v>0</v>
      </c>
      <c r="H115" s="41"/>
    </row>
    <row r="116" s="4" customFormat="1" spans="1:8">
      <c r="A116" s="36"/>
      <c r="B116" s="37" t="s">
        <v>204</v>
      </c>
      <c r="C116" s="37"/>
      <c r="D116" s="38"/>
      <c r="E116" s="39"/>
      <c r="F116" s="39"/>
      <c r="G116" s="28"/>
      <c r="H116" s="41"/>
    </row>
    <row r="117" s="4" customFormat="1" spans="1:8">
      <c r="A117" s="36"/>
      <c r="B117" s="37" t="s">
        <v>158</v>
      </c>
      <c r="C117" s="37"/>
      <c r="D117" s="38"/>
      <c r="E117" s="39"/>
      <c r="F117" s="39"/>
      <c r="G117" s="28"/>
      <c r="H117" s="41"/>
    </row>
    <row r="118" s="3" customFormat="1" ht="89" customHeight="1" spans="1:8">
      <c r="A118" s="36">
        <v>1</v>
      </c>
      <c r="B118" s="59" t="s">
        <v>205</v>
      </c>
      <c r="C118" s="59" t="s">
        <v>206</v>
      </c>
      <c r="D118" s="38" t="s">
        <v>117</v>
      </c>
      <c r="E118" s="60"/>
      <c r="F118" s="60"/>
      <c r="G118" s="28">
        <f t="shared" ref="G118:G122" si="2">ROUND(E118*F118,2)</f>
        <v>0</v>
      </c>
      <c r="H118" s="41"/>
    </row>
    <row r="119" s="4" customFormat="1" spans="1:8">
      <c r="A119" s="36"/>
      <c r="B119" s="37" t="s">
        <v>161</v>
      </c>
      <c r="C119" s="37"/>
      <c r="D119" s="38"/>
      <c r="E119" s="39"/>
      <c r="F119" s="39"/>
      <c r="G119" s="28"/>
      <c r="H119" s="41"/>
    </row>
    <row r="120" s="2" customFormat="1" ht="78" customHeight="1" spans="1:8">
      <c r="A120" s="36">
        <v>1</v>
      </c>
      <c r="B120" s="37" t="s">
        <v>207</v>
      </c>
      <c r="C120" s="58" t="s">
        <v>208</v>
      </c>
      <c r="D120" s="38" t="s">
        <v>117</v>
      </c>
      <c r="E120" s="60">
        <f>29.88+29.76-18.15*2+18.1*(4.05-3.3)*2+6.34*0.5</f>
        <v>53.66</v>
      </c>
      <c r="F120" s="39">
        <v>139.12</v>
      </c>
      <c r="G120" s="28">
        <f t="shared" si="2"/>
        <v>7465.18</v>
      </c>
      <c r="H120" s="41"/>
    </row>
    <row r="121" s="2" customFormat="1" ht="69" customHeight="1" spans="1:8">
      <c r="A121" s="36">
        <v>2</v>
      </c>
      <c r="B121" s="37" t="s">
        <v>209</v>
      </c>
      <c r="C121" s="58" t="s">
        <v>210</v>
      </c>
      <c r="D121" s="38" t="s">
        <v>117</v>
      </c>
      <c r="E121" s="60">
        <f>(18.15*2)*1.05</f>
        <v>38.115</v>
      </c>
      <c r="F121" s="39">
        <v>18.8</v>
      </c>
      <c r="G121" s="28">
        <f t="shared" si="2"/>
        <v>716.56</v>
      </c>
      <c r="H121" s="61"/>
    </row>
    <row r="122" s="2" customFormat="1" ht="75" customHeight="1" spans="1:8">
      <c r="A122" s="36">
        <v>3</v>
      </c>
      <c r="B122" s="37" t="s">
        <v>41</v>
      </c>
      <c r="C122" s="58" t="s">
        <v>199</v>
      </c>
      <c r="D122" s="38" t="s">
        <v>117</v>
      </c>
      <c r="E122" s="60">
        <f>E120</f>
        <v>53.66</v>
      </c>
      <c r="F122" s="39">
        <v>26.32</v>
      </c>
      <c r="G122" s="28">
        <f t="shared" si="2"/>
        <v>1412.33</v>
      </c>
      <c r="H122" s="41"/>
    </row>
    <row r="123" s="4" customFormat="1" spans="1:8">
      <c r="A123" s="36"/>
      <c r="B123" s="37" t="s">
        <v>195</v>
      </c>
      <c r="C123" s="37"/>
      <c r="D123" s="38"/>
      <c r="E123" s="39"/>
      <c r="F123" s="39"/>
      <c r="G123" s="28"/>
      <c r="H123" s="41"/>
    </row>
    <row r="124" s="2" customFormat="1" ht="55" customHeight="1" spans="1:8">
      <c r="A124" s="36">
        <v>1</v>
      </c>
      <c r="B124" s="37" t="s">
        <v>196</v>
      </c>
      <c r="C124" s="58" t="s">
        <v>197</v>
      </c>
      <c r="D124" s="38" t="s">
        <v>31</v>
      </c>
      <c r="E124" s="39">
        <f>(8.08+0.8+0.81)*2</f>
        <v>19.38</v>
      </c>
      <c r="F124" s="39">
        <v>16.92</v>
      </c>
      <c r="G124" s="28">
        <f t="shared" ref="G124:G130" si="3">ROUND(E124*F124,2)</f>
        <v>327.91</v>
      </c>
      <c r="H124" s="61" t="s">
        <v>211</v>
      </c>
    </row>
    <row r="125" s="2" customFormat="1" ht="78" customHeight="1" spans="1:8">
      <c r="A125" s="36">
        <v>2</v>
      </c>
      <c r="B125" s="37" t="s">
        <v>212</v>
      </c>
      <c r="C125" s="58" t="s">
        <v>199</v>
      </c>
      <c r="D125" s="38" t="s">
        <v>117</v>
      </c>
      <c r="E125" s="39">
        <f>8.08*3.3*2</f>
        <v>53.328</v>
      </c>
      <c r="F125" s="39">
        <v>26.32</v>
      </c>
      <c r="G125" s="28">
        <f t="shared" si="3"/>
        <v>1403.59</v>
      </c>
      <c r="H125" s="61" t="s">
        <v>211</v>
      </c>
    </row>
    <row r="126" s="2" customFormat="1" ht="62" customHeight="1" spans="1:8">
      <c r="A126" s="36">
        <v>3</v>
      </c>
      <c r="B126" s="37" t="s">
        <v>213</v>
      </c>
      <c r="C126" s="58" t="s">
        <v>214</v>
      </c>
      <c r="D126" s="38" t="s">
        <v>117</v>
      </c>
      <c r="E126" s="39">
        <f>(0.8+0.81)*3.3*2</f>
        <v>10.626</v>
      </c>
      <c r="F126" s="39">
        <v>423</v>
      </c>
      <c r="G126" s="28">
        <f t="shared" si="3"/>
        <v>4494.8</v>
      </c>
      <c r="H126" s="41"/>
    </row>
    <row r="127" s="5" customFormat="1" ht="51" customHeight="1" spans="1:8">
      <c r="A127" s="62">
        <v>4</v>
      </c>
      <c r="B127" s="63" t="s">
        <v>215</v>
      </c>
      <c r="C127" s="64" t="s">
        <v>216</v>
      </c>
      <c r="D127" s="65" t="s">
        <v>31</v>
      </c>
      <c r="E127" s="66">
        <f>6.6*2</f>
        <v>13.2</v>
      </c>
      <c r="F127" s="66">
        <v>0</v>
      </c>
      <c r="G127" s="67">
        <f t="shared" si="3"/>
        <v>0</v>
      </c>
      <c r="H127" s="68" t="s">
        <v>217</v>
      </c>
    </row>
    <row r="128" s="5" customFormat="1" ht="51" customHeight="1" spans="1:8">
      <c r="A128" s="62">
        <v>5</v>
      </c>
      <c r="B128" s="63" t="s">
        <v>218</v>
      </c>
      <c r="C128" s="64" t="s">
        <v>216</v>
      </c>
      <c r="D128" s="65" t="s">
        <v>31</v>
      </c>
      <c r="E128" s="66">
        <f>6.6*2</f>
        <v>13.2</v>
      </c>
      <c r="F128" s="66">
        <v>0</v>
      </c>
      <c r="G128" s="67">
        <f t="shared" si="3"/>
        <v>0</v>
      </c>
      <c r="H128" s="68" t="s">
        <v>217</v>
      </c>
    </row>
    <row r="129" s="6" customFormat="1" ht="54" customHeight="1" spans="1:8">
      <c r="A129" s="36">
        <v>6</v>
      </c>
      <c r="B129" s="37" t="s">
        <v>219</v>
      </c>
      <c r="C129" s="58" t="s">
        <v>220</v>
      </c>
      <c r="D129" s="38" t="s">
        <v>117</v>
      </c>
      <c r="E129" s="39">
        <f>6.6*1.6*2</f>
        <v>21.12</v>
      </c>
      <c r="F129" s="39">
        <v>220.9</v>
      </c>
      <c r="G129" s="28">
        <f t="shared" si="3"/>
        <v>4665.41</v>
      </c>
      <c r="H129" s="41"/>
    </row>
    <row r="130" s="2" customFormat="1" ht="68" customHeight="1" spans="1:8">
      <c r="A130" s="36">
        <v>7</v>
      </c>
      <c r="B130" s="37" t="s">
        <v>221</v>
      </c>
      <c r="C130" s="58" t="s">
        <v>222</v>
      </c>
      <c r="D130" s="38" t="s">
        <v>154</v>
      </c>
      <c r="E130" s="39">
        <v>2</v>
      </c>
      <c r="F130" s="39">
        <v>987</v>
      </c>
      <c r="G130" s="28">
        <f t="shared" si="3"/>
        <v>1974</v>
      </c>
      <c r="H130" s="41"/>
    </row>
    <row r="131" s="4" customFormat="1" spans="1:8">
      <c r="A131" s="36"/>
      <c r="B131" s="37" t="s">
        <v>223</v>
      </c>
      <c r="C131" s="37"/>
      <c r="D131" s="38"/>
      <c r="E131" s="39"/>
      <c r="F131" s="39">
        <v>0</v>
      </c>
      <c r="G131" s="28"/>
      <c r="H131" s="41"/>
    </row>
    <row r="132" s="4" customFormat="1" spans="1:8">
      <c r="A132" s="36"/>
      <c r="B132" s="37" t="s">
        <v>158</v>
      </c>
      <c r="C132" s="37"/>
      <c r="D132" s="38"/>
      <c r="E132" s="39"/>
      <c r="F132" s="39"/>
      <c r="G132" s="28"/>
      <c r="H132" s="41"/>
    </row>
    <row r="133" s="6" customFormat="1" ht="93" customHeight="1" spans="1:8">
      <c r="A133" s="36">
        <v>1</v>
      </c>
      <c r="B133" s="59" t="s">
        <v>205</v>
      </c>
      <c r="C133" s="59" t="s">
        <v>206</v>
      </c>
      <c r="D133" s="38" t="s">
        <v>117</v>
      </c>
      <c r="E133" s="60">
        <f>67.4+7.35*0.25+0.92</f>
        <v>70.1575</v>
      </c>
      <c r="F133" s="60">
        <v>120.32</v>
      </c>
      <c r="G133" s="28">
        <f t="shared" ref="G133:G136" si="4">ROUND(E133*F133,2)</f>
        <v>8441.35</v>
      </c>
      <c r="H133" s="41"/>
    </row>
    <row r="134" s="4" customFormat="1" spans="1:8">
      <c r="A134" s="36"/>
      <c r="B134" s="37" t="s">
        <v>161</v>
      </c>
      <c r="C134" s="37"/>
      <c r="D134" s="38"/>
      <c r="E134" s="39"/>
      <c r="F134" s="39"/>
      <c r="G134" s="28"/>
      <c r="H134" s="41"/>
    </row>
    <row r="135" s="2" customFormat="1" ht="83" customHeight="1" spans="1:8">
      <c r="A135" s="36">
        <v>1</v>
      </c>
      <c r="B135" s="37" t="s">
        <v>224</v>
      </c>
      <c r="C135" s="58" t="s">
        <v>208</v>
      </c>
      <c r="D135" s="38" t="s">
        <v>117</v>
      </c>
      <c r="E135" s="60">
        <f>67.4+7.35*0.5</f>
        <v>71.075</v>
      </c>
      <c r="F135" s="39">
        <v>139.12</v>
      </c>
      <c r="G135" s="28">
        <f t="shared" si="4"/>
        <v>9887.95</v>
      </c>
      <c r="H135" s="41"/>
    </row>
    <row r="136" s="2" customFormat="1" ht="84" customHeight="1" spans="1:8">
      <c r="A136" s="36">
        <v>3</v>
      </c>
      <c r="B136" s="37" t="s">
        <v>41</v>
      </c>
      <c r="C136" s="58" t="s">
        <v>199</v>
      </c>
      <c r="D136" s="38" t="s">
        <v>117</v>
      </c>
      <c r="E136" s="60">
        <f>E135</f>
        <v>71.075</v>
      </c>
      <c r="F136" s="39">
        <v>26.32</v>
      </c>
      <c r="G136" s="28">
        <f t="shared" si="4"/>
        <v>1870.69</v>
      </c>
      <c r="H136" s="41"/>
    </row>
    <row r="137" s="4" customFormat="1" spans="1:8">
      <c r="A137" s="36"/>
      <c r="B137" s="37" t="s">
        <v>195</v>
      </c>
      <c r="C137" s="37"/>
      <c r="D137" s="38"/>
      <c r="E137" s="39"/>
      <c r="F137" s="39"/>
      <c r="G137" s="28"/>
      <c r="H137" s="41"/>
    </row>
    <row r="138" s="2" customFormat="1" ht="55" customHeight="1" spans="1:8">
      <c r="A138" s="36">
        <v>1</v>
      </c>
      <c r="B138" s="37" t="s">
        <v>196</v>
      </c>
      <c r="C138" s="58" t="s">
        <v>197</v>
      </c>
      <c r="D138" s="38" t="s">
        <v>31</v>
      </c>
      <c r="E138" s="39">
        <f>2.32+8.06+2.6+8.35</f>
        <v>21.33</v>
      </c>
      <c r="F138" s="39">
        <v>16.92</v>
      </c>
      <c r="G138" s="28">
        <f t="shared" ref="G138:G146" si="5">ROUND(E138*F138,2)</f>
        <v>360.9</v>
      </c>
      <c r="H138" s="61"/>
    </row>
    <row r="139" s="2" customFormat="1" ht="66" customHeight="1" spans="1:8">
      <c r="A139" s="36">
        <v>2</v>
      </c>
      <c r="B139" s="37" t="s">
        <v>213</v>
      </c>
      <c r="C139" s="58" t="s">
        <v>214</v>
      </c>
      <c r="D139" s="38" t="s">
        <v>117</v>
      </c>
      <c r="E139" s="39">
        <f>(2.32+2.6+1.12+0.85)*3.1</f>
        <v>21.359</v>
      </c>
      <c r="F139" s="39">
        <v>423</v>
      </c>
      <c r="G139" s="28">
        <f t="shared" si="5"/>
        <v>9034.86</v>
      </c>
      <c r="H139" s="41"/>
    </row>
    <row r="140" s="7" customFormat="1" ht="69" customHeight="1" spans="1:8">
      <c r="A140" s="36">
        <v>3</v>
      </c>
      <c r="B140" s="58" t="s">
        <v>225</v>
      </c>
      <c r="C140" s="58" t="s">
        <v>226</v>
      </c>
      <c r="D140" s="38" t="s">
        <v>117</v>
      </c>
      <c r="E140" s="60">
        <f>(8.06+6.55)*3.1-2.55*3.1-0.9*2.3</f>
        <v>35.316</v>
      </c>
      <c r="F140" s="39">
        <v>263.2</v>
      </c>
      <c r="G140" s="28">
        <f t="shared" si="5"/>
        <v>9295.17</v>
      </c>
      <c r="H140" s="41"/>
    </row>
    <row r="141" s="7" customFormat="1" ht="100" customHeight="1" spans="1:8">
      <c r="A141" s="36">
        <v>4</v>
      </c>
      <c r="B141" s="58" t="s">
        <v>227</v>
      </c>
      <c r="C141" s="58" t="s">
        <v>228</v>
      </c>
      <c r="D141" s="38" t="s">
        <v>15</v>
      </c>
      <c r="E141" s="60">
        <f>0.9*3.1</f>
        <v>2.79</v>
      </c>
      <c r="F141" s="39">
        <v>319.6</v>
      </c>
      <c r="G141" s="28">
        <f t="shared" si="5"/>
        <v>891.68</v>
      </c>
      <c r="H141" s="41"/>
    </row>
    <row r="142" s="6" customFormat="1" ht="66" customHeight="1" spans="1:8">
      <c r="A142" s="36">
        <v>5</v>
      </c>
      <c r="B142" s="37" t="s">
        <v>219</v>
      </c>
      <c r="C142" s="58" t="s">
        <v>220</v>
      </c>
      <c r="D142" s="38" t="s">
        <v>117</v>
      </c>
      <c r="E142" s="39">
        <f>2.55*3.1</f>
        <v>7.905</v>
      </c>
      <c r="F142" s="39">
        <v>220.9</v>
      </c>
      <c r="G142" s="28">
        <f t="shared" si="5"/>
        <v>1746.21</v>
      </c>
      <c r="H142" s="41"/>
    </row>
    <row r="143" s="3" customFormat="1" ht="47" customHeight="1" spans="1:8">
      <c r="A143" s="36">
        <v>6</v>
      </c>
      <c r="B143" s="37" t="s">
        <v>229</v>
      </c>
      <c r="C143" s="58" t="s">
        <v>230</v>
      </c>
      <c r="D143" s="38" t="s">
        <v>117</v>
      </c>
      <c r="E143" s="39">
        <f>(0.01+0.1+0.01)*3.1*2+(0.01+0.15+0.01)*2.36</f>
        <v>1.1452</v>
      </c>
      <c r="F143" s="39">
        <v>517</v>
      </c>
      <c r="G143" s="28">
        <f t="shared" si="5"/>
        <v>592.07</v>
      </c>
      <c r="H143" s="41"/>
    </row>
    <row r="144" s="3" customFormat="1" ht="58" customHeight="1" spans="1:8">
      <c r="A144" s="36">
        <v>7</v>
      </c>
      <c r="B144" s="37" t="s">
        <v>231</v>
      </c>
      <c r="C144" s="58" t="s">
        <v>232</v>
      </c>
      <c r="D144" s="38" t="s">
        <v>31</v>
      </c>
      <c r="E144" s="39">
        <f>3.1*2</f>
        <v>6.2</v>
      </c>
      <c r="F144" s="39">
        <v>35.72</v>
      </c>
      <c r="G144" s="28">
        <f t="shared" si="5"/>
        <v>221.46</v>
      </c>
      <c r="H144" s="41"/>
    </row>
    <row r="145" s="2" customFormat="1" ht="65" customHeight="1" spans="1:8">
      <c r="A145" s="36">
        <v>8</v>
      </c>
      <c r="B145" s="37" t="s">
        <v>233</v>
      </c>
      <c r="C145" s="58" t="s">
        <v>234</v>
      </c>
      <c r="D145" s="38" t="s">
        <v>154</v>
      </c>
      <c r="E145" s="39">
        <v>1</v>
      </c>
      <c r="F145" s="39">
        <v>2049.2</v>
      </c>
      <c r="G145" s="28">
        <f t="shared" si="5"/>
        <v>2049.2</v>
      </c>
      <c r="H145" s="41"/>
    </row>
    <row r="146" s="2" customFormat="1" ht="62" customHeight="1" spans="1:8">
      <c r="A146" s="36">
        <v>9</v>
      </c>
      <c r="B146" s="37" t="s">
        <v>202</v>
      </c>
      <c r="C146" s="58" t="s">
        <v>203</v>
      </c>
      <c r="D146" s="38" t="s">
        <v>154</v>
      </c>
      <c r="E146" s="39">
        <v>1</v>
      </c>
      <c r="F146" s="39">
        <v>1128</v>
      </c>
      <c r="G146" s="57">
        <f t="shared" si="5"/>
        <v>1128</v>
      </c>
      <c r="H146" s="41"/>
    </row>
    <row r="147" s="1" customFormat="1" ht="24" spans="1:8">
      <c r="A147" s="36"/>
      <c r="B147" s="37" t="s">
        <v>235</v>
      </c>
      <c r="C147" s="37"/>
      <c r="D147" s="38"/>
      <c r="E147" s="39"/>
      <c r="F147" s="39"/>
      <c r="G147" s="28"/>
      <c r="H147" s="41"/>
    </row>
    <row r="148" s="1" customFormat="1" spans="1:8">
      <c r="A148" s="36"/>
      <c r="B148" s="37" t="s">
        <v>158</v>
      </c>
      <c r="C148" s="37"/>
      <c r="D148" s="38"/>
      <c r="E148" s="39"/>
      <c r="F148" s="39"/>
      <c r="G148" s="28"/>
      <c r="H148" s="41"/>
    </row>
    <row r="149" s="3" customFormat="1" ht="90" customHeight="1" spans="1:8">
      <c r="A149" s="36">
        <v>1</v>
      </c>
      <c r="B149" s="59" t="s">
        <v>236</v>
      </c>
      <c r="C149" s="59" t="s">
        <v>206</v>
      </c>
      <c r="D149" s="38" t="s">
        <v>117</v>
      </c>
      <c r="E149" s="60">
        <f>128.87+(14.78+13.13)*0.25</f>
        <v>135.8475</v>
      </c>
      <c r="F149" s="60">
        <v>120.32</v>
      </c>
      <c r="G149" s="28">
        <f t="shared" ref="G149:G152" si="6">ROUND(E149*F149,2)</f>
        <v>16345.17</v>
      </c>
      <c r="H149" s="41"/>
    </row>
    <row r="150" s="1" customFormat="1" spans="1:8">
      <c r="A150" s="36"/>
      <c r="B150" s="37" t="s">
        <v>161</v>
      </c>
      <c r="C150" s="37"/>
      <c r="D150" s="38"/>
      <c r="E150" s="39"/>
      <c r="F150" s="39"/>
      <c r="G150" s="28"/>
      <c r="H150" s="41"/>
    </row>
    <row r="151" s="2" customFormat="1" ht="81" customHeight="1" spans="1:8">
      <c r="A151" s="36">
        <v>1</v>
      </c>
      <c r="B151" s="37" t="s">
        <v>209</v>
      </c>
      <c r="C151" s="58" t="s">
        <v>210</v>
      </c>
      <c r="D151" s="38" t="s">
        <v>117</v>
      </c>
      <c r="E151" s="60">
        <f>128.87*1.05+(6.58+6.8)*0.5*2</f>
        <v>148.6935</v>
      </c>
      <c r="F151" s="39">
        <v>18.8</v>
      </c>
      <c r="G151" s="28">
        <f t="shared" si="6"/>
        <v>2795.44</v>
      </c>
      <c r="H151" s="61"/>
    </row>
    <row r="152" s="7" customFormat="1" ht="76" customHeight="1" spans="1:8">
      <c r="A152" s="36">
        <v>2</v>
      </c>
      <c r="B152" s="37" t="s">
        <v>237</v>
      </c>
      <c r="C152" s="58" t="s">
        <v>238</v>
      </c>
      <c r="D152" s="38" t="s">
        <v>117</v>
      </c>
      <c r="E152" s="60">
        <f>4.8*4+(11.6*0.4)*4</f>
        <v>37.76</v>
      </c>
      <c r="F152" s="39">
        <v>329</v>
      </c>
      <c r="G152" s="28">
        <f t="shared" si="6"/>
        <v>12423.04</v>
      </c>
      <c r="H152" s="41"/>
    </row>
    <row r="153" s="1" customFormat="1" spans="1:8">
      <c r="A153" s="36"/>
      <c r="B153" s="37" t="s">
        <v>195</v>
      </c>
      <c r="C153" s="37"/>
      <c r="D153" s="38"/>
      <c r="E153" s="39"/>
      <c r="F153" s="39"/>
      <c r="G153" s="28"/>
      <c r="H153" s="41"/>
    </row>
    <row r="154" s="2" customFormat="1" ht="55" customHeight="1" spans="1:8">
      <c r="A154" s="36">
        <v>1</v>
      </c>
      <c r="B154" s="37" t="s">
        <v>196</v>
      </c>
      <c r="C154" s="58" t="s">
        <v>197</v>
      </c>
      <c r="D154" s="38" t="s">
        <v>31</v>
      </c>
      <c r="E154" s="39">
        <f>8.2-0.9+2.4+9.5-0.8+2.4</f>
        <v>20.8</v>
      </c>
      <c r="F154" s="39">
        <v>16.92</v>
      </c>
      <c r="G154" s="28">
        <f t="shared" ref="G154:G157" si="7">ROUND(E154*F154,2)</f>
        <v>351.94</v>
      </c>
      <c r="H154" s="61"/>
    </row>
    <row r="155" s="2" customFormat="1" ht="78" customHeight="1" spans="1:8">
      <c r="A155" s="36">
        <v>2</v>
      </c>
      <c r="B155" s="37" t="s">
        <v>198</v>
      </c>
      <c r="C155" s="58" t="s">
        <v>199</v>
      </c>
      <c r="D155" s="38" t="s">
        <v>117</v>
      </c>
      <c r="E155" s="39">
        <f>(8.2-0.9+2.4+9.5-0.8+2.4)*3.1</f>
        <v>64.48</v>
      </c>
      <c r="F155" s="39">
        <v>26.32</v>
      </c>
      <c r="G155" s="28">
        <f t="shared" si="7"/>
        <v>1697.11</v>
      </c>
      <c r="H155" s="61" t="s">
        <v>211</v>
      </c>
    </row>
    <row r="156" s="2" customFormat="1" ht="82" customHeight="1" spans="1:8">
      <c r="A156" s="36">
        <v>3</v>
      </c>
      <c r="B156" s="37" t="s">
        <v>200</v>
      </c>
      <c r="C156" s="58" t="s">
        <v>201</v>
      </c>
      <c r="D156" s="38" t="s">
        <v>117</v>
      </c>
      <c r="E156" s="39">
        <f>62.15*(4.05-3.1)</f>
        <v>59.0425</v>
      </c>
      <c r="F156" s="39">
        <v>26.32</v>
      </c>
      <c r="G156" s="28">
        <f t="shared" si="7"/>
        <v>1554</v>
      </c>
      <c r="H156" s="61"/>
    </row>
    <row r="157" s="8" customFormat="1" ht="44" customHeight="1" spans="1:8">
      <c r="A157" s="62">
        <v>4</v>
      </c>
      <c r="B157" s="63" t="s">
        <v>239</v>
      </c>
      <c r="C157" s="64" t="s">
        <v>240</v>
      </c>
      <c r="D157" s="65" t="s">
        <v>117</v>
      </c>
      <c r="E157" s="66">
        <f>2.01*3.1*2</f>
        <v>12.462</v>
      </c>
      <c r="F157" s="66">
        <v>0</v>
      </c>
      <c r="G157" s="67">
        <f t="shared" si="7"/>
        <v>0</v>
      </c>
      <c r="H157" s="68" t="s">
        <v>217</v>
      </c>
    </row>
    <row r="158" s="4" customFormat="1" spans="1:8">
      <c r="A158" s="36"/>
      <c r="B158" s="37" t="s">
        <v>241</v>
      </c>
      <c r="C158" s="37"/>
      <c r="D158" s="38"/>
      <c r="E158" s="39"/>
      <c r="F158" s="39"/>
      <c r="G158" s="28"/>
      <c r="H158" s="41"/>
    </row>
    <row r="159" s="4" customFormat="1" spans="1:8">
      <c r="A159" s="36"/>
      <c r="B159" s="37" t="s">
        <v>158</v>
      </c>
      <c r="C159" s="37"/>
      <c r="D159" s="38"/>
      <c r="E159" s="39"/>
      <c r="F159" s="39"/>
      <c r="G159" s="28"/>
      <c r="H159" s="41"/>
    </row>
    <row r="160" s="2" customFormat="1" ht="90" customHeight="1" spans="1:8">
      <c r="A160" s="36">
        <v>1</v>
      </c>
      <c r="B160" s="59" t="s">
        <v>242</v>
      </c>
      <c r="C160" s="59" t="s">
        <v>206</v>
      </c>
      <c r="D160" s="38" t="s">
        <v>117</v>
      </c>
      <c r="E160" s="60">
        <f>7.15+0.12</f>
        <v>7.27</v>
      </c>
      <c r="F160" s="60">
        <v>120.32</v>
      </c>
      <c r="G160" s="28">
        <f t="shared" ref="G160:G162" si="8">ROUND(E160*F160,2)</f>
        <v>874.73</v>
      </c>
      <c r="H160" s="41"/>
    </row>
    <row r="161" s="2" customFormat="1" ht="57" customHeight="1" spans="1:8">
      <c r="A161" s="36">
        <v>2</v>
      </c>
      <c r="B161" s="59" t="s">
        <v>243</v>
      </c>
      <c r="C161" s="59" t="s">
        <v>244</v>
      </c>
      <c r="D161" s="38" t="s">
        <v>117</v>
      </c>
      <c r="E161" s="60">
        <v>7.15</v>
      </c>
      <c r="F161" s="60">
        <v>33.84</v>
      </c>
      <c r="G161" s="28">
        <f t="shared" si="8"/>
        <v>241.96</v>
      </c>
      <c r="H161" s="41"/>
    </row>
    <row r="162" s="2" customFormat="1" ht="48" customHeight="1" spans="1:8">
      <c r="A162" s="36">
        <v>3</v>
      </c>
      <c r="B162" s="59" t="s">
        <v>245</v>
      </c>
      <c r="C162" s="59" t="s">
        <v>246</v>
      </c>
      <c r="D162" s="38" t="s">
        <v>117</v>
      </c>
      <c r="E162" s="60">
        <v>7.15</v>
      </c>
      <c r="F162" s="60">
        <v>13.16</v>
      </c>
      <c r="G162" s="28">
        <f t="shared" si="8"/>
        <v>94.09</v>
      </c>
      <c r="H162" s="41"/>
    </row>
    <row r="163" s="4" customFormat="1" spans="1:8">
      <c r="A163" s="36"/>
      <c r="B163" s="37" t="s">
        <v>161</v>
      </c>
      <c r="C163" s="37"/>
      <c r="D163" s="38"/>
      <c r="E163" s="39"/>
      <c r="F163" s="39"/>
      <c r="G163" s="28"/>
      <c r="H163" s="41"/>
    </row>
    <row r="164" s="2" customFormat="1" ht="69" customHeight="1" spans="1:8">
      <c r="A164" s="36">
        <v>1</v>
      </c>
      <c r="B164" s="37" t="s">
        <v>247</v>
      </c>
      <c r="C164" s="58" t="s">
        <v>248</v>
      </c>
      <c r="D164" s="38" t="s">
        <v>117</v>
      </c>
      <c r="E164" s="60">
        <v>7.15</v>
      </c>
      <c r="F164" s="39">
        <v>125.02</v>
      </c>
      <c r="G164" s="28">
        <f t="shared" ref="G164:G172" si="9">ROUND(E164*F164,2)</f>
        <v>893.89</v>
      </c>
      <c r="H164" s="41"/>
    </row>
    <row r="165" s="2" customFormat="1" ht="78" customHeight="1" spans="1:8">
      <c r="A165" s="36">
        <v>3</v>
      </c>
      <c r="B165" s="37" t="s">
        <v>249</v>
      </c>
      <c r="C165" s="58" t="s">
        <v>199</v>
      </c>
      <c r="D165" s="38" t="s">
        <v>117</v>
      </c>
      <c r="E165" s="60">
        <f>E164</f>
        <v>7.15</v>
      </c>
      <c r="F165" s="39">
        <v>26.32</v>
      </c>
      <c r="G165" s="28">
        <f t="shared" si="9"/>
        <v>188.19</v>
      </c>
      <c r="H165" s="41"/>
    </row>
    <row r="166" s="4" customFormat="1" spans="1:8">
      <c r="A166" s="36"/>
      <c r="B166" s="37" t="s">
        <v>195</v>
      </c>
      <c r="C166" s="37"/>
      <c r="D166" s="38"/>
      <c r="E166" s="39"/>
      <c r="F166" s="39"/>
      <c r="G166" s="28"/>
      <c r="H166" s="41"/>
    </row>
    <row r="167" s="2" customFormat="1" ht="64" customHeight="1" spans="1:8">
      <c r="A167" s="36">
        <v>1</v>
      </c>
      <c r="B167" s="59" t="s">
        <v>250</v>
      </c>
      <c r="C167" s="59" t="s">
        <v>251</v>
      </c>
      <c r="D167" s="38" t="s">
        <v>117</v>
      </c>
      <c r="E167" s="28">
        <f>11.55*1.8-0.8*1.8</f>
        <v>19.35</v>
      </c>
      <c r="F167" s="28">
        <v>33.84</v>
      </c>
      <c r="G167" s="28">
        <f t="shared" si="9"/>
        <v>654.8</v>
      </c>
      <c r="H167" s="41"/>
    </row>
    <row r="168" s="2" customFormat="1" ht="44" customHeight="1" spans="1:8">
      <c r="A168" s="36">
        <v>2</v>
      </c>
      <c r="B168" s="59" t="s">
        <v>245</v>
      </c>
      <c r="C168" s="59" t="s">
        <v>246</v>
      </c>
      <c r="D168" s="38" t="s">
        <v>117</v>
      </c>
      <c r="E168" s="28">
        <f>E167</f>
        <v>19.35</v>
      </c>
      <c r="F168" s="60">
        <v>13.16</v>
      </c>
      <c r="G168" s="28">
        <f t="shared" si="9"/>
        <v>254.65</v>
      </c>
      <c r="H168" s="41"/>
    </row>
    <row r="169" s="2" customFormat="1" ht="69" customHeight="1" spans="1:8">
      <c r="A169" s="36">
        <v>3</v>
      </c>
      <c r="B169" s="58" t="s">
        <v>252</v>
      </c>
      <c r="C169" s="58" t="s">
        <v>253</v>
      </c>
      <c r="D169" s="38" t="s">
        <v>117</v>
      </c>
      <c r="E169" s="28">
        <f>11.55*3-0.8*3</f>
        <v>32.25</v>
      </c>
      <c r="F169" s="39">
        <v>108.1</v>
      </c>
      <c r="G169" s="28">
        <f t="shared" si="9"/>
        <v>3486.23</v>
      </c>
      <c r="H169" s="41"/>
    </row>
    <row r="170" s="8" customFormat="1" ht="47" customHeight="1" spans="1:8">
      <c r="A170" s="62">
        <v>4</v>
      </c>
      <c r="B170" s="64" t="s">
        <v>215</v>
      </c>
      <c r="C170" s="64" t="s">
        <v>254</v>
      </c>
      <c r="D170" s="65" t="s">
        <v>31</v>
      </c>
      <c r="E170" s="67">
        <f>1.62*2+2.14</f>
        <v>5.38</v>
      </c>
      <c r="F170" s="66">
        <v>0</v>
      </c>
      <c r="G170" s="67">
        <f t="shared" si="9"/>
        <v>0</v>
      </c>
      <c r="H170" s="68" t="s">
        <v>217</v>
      </c>
    </row>
    <row r="171" s="2" customFormat="1" ht="57" customHeight="1" spans="1:8">
      <c r="A171" s="36">
        <v>5</v>
      </c>
      <c r="B171" s="58" t="s">
        <v>255</v>
      </c>
      <c r="C171" s="58" t="s">
        <v>256</v>
      </c>
      <c r="D171" s="38" t="s">
        <v>31</v>
      </c>
      <c r="E171" s="28">
        <f>E170</f>
        <v>5.38</v>
      </c>
      <c r="F171" s="39">
        <v>1974</v>
      </c>
      <c r="G171" s="28">
        <f t="shared" si="9"/>
        <v>10620.12</v>
      </c>
      <c r="H171" s="41"/>
    </row>
    <row r="172" s="2" customFormat="1" ht="72" customHeight="1" spans="1:8">
      <c r="A172" s="36">
        <v>6</v>
      </c>
      <c r="B172" s="37" t="s">
        <v>202</v>
      </c>
      <c r="C172" s="58" t="s">
        <v>203</v>
      </c>
      <c r="D172" s="38" t="s">
        <v>154</v>
      </c>
      <c r="E172" s="39">
        <v>1</v>
      </c>
      <c r="F172" s="39">
        <v>1128</v>
      </c>
      <c r="G172" s="57">
        <f t="shared" si="9"/>
        <v>1128</v>
      </c>
      <c r="H172" s="41"/>
    </row>
    <row r="173" s="4" customFormat="1" spans="1:8">
      <c r="A173" s="36"/>
      <c r="B173" s="37" t="s">
        <v>257</v>
      </c>
      <c r="C173" s="37"/>
      <c r="D173" s="38"/>
      <c r="E173" s="39"/>
      <c r="F173" s="39"/>
      <c r="G173" s="28"/>
      <c r="H173" s="41"/>
    </row>
    <row r="174" s="4" customFormat="1" spans="1:8">
      <c r="A174" s="36"/>
      <c r="B174" s="37" t="s">
        <v>158</v>
      </c>
      <c r="C174" s="37"/>
      <c r="D174" s="38"/>
      <c r="E174" s="39"/>
      <c r="F174" s="39"/>
      <c r="G174" s="28"/>
      <c r="H174" s="41"/>
    </row>
    <row r="175" s="3" customFormat="1" ht="92" customHeight="1" spans="1:8">
      <c r="A175" s="36">
        <v>1</v>
      </c>
      <c r="B175" s="59" t="s">
        <v>205</v>
      </c>
      <c r="C175" s="59" t="s">
        <v>206</v>
      </c>
      <c r="D175" s="38" t="s">
        <v>117</v>
      </c>
      <c r="E175" s="60">
        <f>14.86+14.56+3.4*0.25+0.993</f>
        <v>31.263</v>
      </c>
      <c r="F175" s="60">
        <v>120.32</v>
      </c>
      <c r="G175" s="28">
        <f t="shared" ref="G175:G179" si="10">ROUND(E175*F175,2)</f>
        <v>3761.56</v>
      </c>
      <c r="H175" s="41"/>
    </row>
    <row r="176" s="4" customFormat="1" spans="1:8">
      <c r="A176" s="36"/>
      <c r="B176" s="37" t="s">
        <v>161</v>
      </c>
      <c r="C176" s="37"/>
      <c r="D176" s="38"/>
      <c r="E176" s="39"/>
      <c r="F176" s="39"/>
      <c r="G176" s="28"/>
      <c r="H176" s="41"/>
    </row>
    <row r="177" s="2" customFormat="1" ht="78" customHeight="1" spans="1:8">
      <c r="A177" s="36">
        <v>1</v>
      </c>
      <c r="B177" s="37" t="s">
        <v>258</v>
      </c>
      <c r="C177" s="58" t="s">
        <v>208</v>
      </c>
      <c r="D177" s="38" t="s">
        <v>117</v>
      </c>
      <c r="E177" s="60">
        <f>29.42-9.5*2+3.4*0.5+11.95*(4.05-3)</f>
        <v>24.6675</v>
      </c>
      <c r="F177" s="39">
        <v>139.12</v>
      </c>
      <c r="G177" s="28">
        <f t="shared" si="10"/>
        <v>3431.74</v>
      </c>
      <c r="H177" s="41"/>
    </row>
    <row r="178" s="2" customFormat="1" ht="81" customHeight="1" spans="1:8">
      <c r="A178" s="36">
        <v>2</v>
      </c>
      <c r="B178" s="37" t="s">
        <v>209</v>
      </c>
      <c r="C178" s="58" t="s">
        <v>210</v>
      </c>
      <c r="D178" s="38" t="s">
        <v>117</v>
      </c>
      <c r="E178" s="60">
        <f>9.5*2</f>
        <v>19</v>
      </c>
      <c r="F178" s="39">
        <v>18.8</v>
      </c>
      <c r="G178" s="28">
        <f t="shared" si="10"/>
        <v>357.2</v>
      </c>
      <c r="H178" s="61"/>
    </row>
    <row r="179" s="2" customFormat="1" ht="84" customHeight="1" spans="1:8">
      <c r="A179" s="36">
        <v>3</v>
      </c>
      <c r="B179" s="37" t="s">
        <v>41</v>
      </c>
      <c r="C179" s="58" t="s">
        <v>199</v>
      </c>
      <c r="D179" s="38" t="s">
        <v>117</v>
      </c>
      <c r="E179" s="60">
        <f>E177</f>
        <v>24.6675</v>
      </c>
      <c r="F179" s="39">
        <v>26.32</v>
      </c>
      <c r="G179" s="28">
        <f t="shared" si="10"/>
        <v>649.25</v>
      </c>
      <c r="H179" s="41"/>
    </row>
    <row r="180" s="4" customFormat="1" spans="1:8">
      <c r="A180" s="36"/>
      <c r="B180" s="37" t="s">
        <v>195</v>
      </c>
      <c r="C180" s="37"/>
      <c r="D180" s="38"/>
      <c r="E180" s="39"/>
      <c r="F180" s="39"/>
      <c r="G180" s="28"/>
      <c r="H180" s="41"/>
    </row>
    <row r="181" s="2" customFormat="1" ht="55" customHeight="1" spans="1:8">
      <c r="A181" s="36">
        <v>1</v>
      </c>
      <c r="B181" s="37" t="s">
        <v>196</v>
      </c>
      <c r="C181" s="58" t="s">
        <v>197</v>
      </c>
      <c r="D181" s="38" t="s">
        <v>31</v>
      </c>
      <c r="E181" s="39">
        <f>3.32+0.805+3.32+3.92</f>
        <v>11.365</v>
      </c>
      <c r="F181" s="39">
        <v>16.92</v>
      </c>
      <c r="G181" s="28">
        <f t="shared" ref="G181:G185" si="11">ROUND(E181*F181,2)</f>
        <v>192.3</v>
      </c>
      <c r="H181" s="61" t="s">
        <v>211</v>
      </c>
    </row>
    <row r="182" s="2" customFormat="1" ht="66" customHeight="1" spans="1:8">
      <c r="A182" s="36">
        <v>2</v>
      </c>
      <c r="B182" s="37" t="s">
        <v>213</v>
      </c>
      <c r="C182" s="58" t="s">
        <v>214</v>
      </c>
      <c r="D182" s="38" t="s">
        <v>117</v>
      </c>
      <c r="E182" s="39">
        <f>(0.805+0.68)*3</f>
        <v>4.455</v>
      </c>
      <c r="F182" s="39">
        <v>423</v>
      </c>
      <c r="G182" s="28">
        <f t="shared" si="11"/>
        <v>1884.47</v>
      </c>
      <c r="H182" s="61" t="s">
        <v>211</v>
      </c>
    </row>
    <row r="183" s="2" customFormat="1" ht="78" customHeight="1" spans="1:8">
      <c r="A183" s="36">
        <v>3</v>
      </c>
      <c r="B183" s="37" t="s">
        <v>212</v>
      </c>
      <c r="C183" s="58" t="s">
        <v>199</v>
      </c>
      <c r="D183" s="38" t="s">
        <v>117</v>
      </c>
      <c r="E183" s="39">
        <f>(3.32+0.805+3.32+3.92)*3-4.46</f>
        <v>29.635</v>
      </c>
      <c r="F183" s="39">
        <v>26.32</v>
      </c>
      <c r="G183" s="28">
        <f t="shared" si="11"/>
        <v>779.99</v>
      </c>
      <c r="H183" s="61" t="s">
        <v>211</v>
      </c>
    </row>
    <row r="184" s="8" customFormat="1" ht="51" customHeight="1" spans="1:8">
      <c r="A184" s="62">
        <v>4</v>
      </c>
      <c r="B184" s="63" t="s">
        <v>239</v>
      </c>
      <c r="C184" s="64" t="s">
        <v>259</v>
      </c>
      <c r="D184" s="65" t="s">
        <v>117</v>
      </c>
      <c r="E184" s="66">
        <f>(3.28+3.4)*3</f>
        <v>20.04</v>
      </c>
      <c r="F184" s="66">
        <v>0</v>
      </c>
      <c r="G184" s="67">
        <f t="shared" si="11"/>
        <v>0</v>
      </c>
      <c r="H184" s="68" t="s">
        <v>217</v>
      </c>
    </row>
    <row r="185" s="2" customFormat="1" ht="66" customHeight="1" spans="1:8">
      <c r="A185" s="36">
        <v>5</v>
      </c>
      <c r="B185" s="37" t="s">
        <v>221</v>
      </c>
      <c r="C185" s="58" t="s">
        <v>222</v>
      </c>
      <c r="D185" s="38" t="s">
        <v>154</v>
      </c>
      <c r="E185" s="39">
        <v>2</v>
      </c>
      <c r="F185" s="39">
        <v>987</v>
      </c>
      <c r="G185" s="28">
        <f t="shared" si="11"/>
        <v>1974</v>
      </c>
      <c r="H185" s="41"/>
    </row>
    <row r="186" s="1" customFormat="1" spans="1:8">
      <c r="A186" s="36"/>
      <c r="B186" s="37" t="s">
        <v>260</v>
      </c>
      <c r="C186" s="37"/>
      <c r="D186" s="38"/>
      <c r="E186" s="39"/>
      <c r="F186" s="39"/>
      <c r="G186" s="28"/>
      <c r="H186" s="41"/>
    </row>
    <row r="187" s="1" customFormat="1" spans="1:8">
      <c r="A187" s="36"/>
      <c r="B187" s="37" t="s">
        <v>158</v>
      </c>
      <c r="C187" s="37"/>
      <c r="D187" s="38"/>
      <c r="E187" s="39"/>
      <c r="F187" s="39"/>
      <c r="G187" s="28"/>
      <c r="H187" s="41"/>
    </row>
    <row r="188" s="6" customFormat="1" ht="90" customHeight="1" spans="1:8">
      <c r="A188" s="36">
        <v>1</v>
      </c>
      <c r="B188" s="59" t="s">
        <v>205</v>
      </c>
      <c r="C188" s="59" t="s">
        <v>206</v>
      </c>
      <c r="D188" s="38" t="s">
        <v>117</v>
      </c>
      <c r="E188" s="60">
        <f>38.36+4.3*0.25+0.9</f>
        <v>40.335</v>
      </c>
      <c r="F188" s="60">
        <v>120.32</v>
      </c>
      <c r="G188" s="28">
        <f t="shared" ref="G188:G192" si="12">ROUND(E188*F188,2)</f>
        <v>4853.11</v>
      </c>
      <c r="H188" s="41"/>
    </row>
    <row r="189" s="1" customFormat="1" spans="1:8">
      <c r="A189" s="36"/>
      <c r="B189" s="37" t="s">
        <v>161</v>
      </c>
      <c r="C189" s="37"/>
      <c r="D189" s="38"/>
      <c r="E189" s="39"/>
      <c r="F189" s="39"/>
      <c r="G189" s="28"/>
      <c r="H189" s="41"/>
    </row>
    <row r="190" s="2" customFormat="1" ht="78" customHeight="1" spans="1:8">
      <c r="A190" s="36">
        <v>1</v>
      </c>
      <c r="B190" s="37" t="s">
        <v>258</v>
      </c>
      <c r="C190" s="58" t="s">
        <v>208</v>
      </c>
      <c r="D190" s="38" t="s">
        <v>117</v>
      </c>
      <c r="E190" s="60">
        <f>38.36*1.05-20.8+4.3*0.5</f>
        <v>21.628</v>
      </c>
      <c r="F190" s="39">
        <v>139.12</v>
      </c>
      <c r="G190" s="28">
        <f t="shared" si="12"/>
        <v>3008.89</v>
      </c>
      <c r="H190" s="41"/>
    </row>
    <row r="191" s="2" customFormat="1" ht="81" customHeight="1" spans="1:8">
      <c r="A191" s="36">
        <v>2</v>
      </c>
      <c r="B191" s="37" t="s">
        <v>209</v>
      </c>
      <c r="C191" s="58" t="s">
        <v>210</v>
      </c>
      <c r="D191" s="38" t="s">
        <v>117</v>
      </c>
      <c r="E191" s="60">
        <v>20.8</v>
      </c>
      <c r="F191" s="39">
        <v>18.8</v>
      </c>
      <c r="G191" s="28">
        <f t="shared" si="12"/>
        <v>391.04</v>
      </c>
      <c r="H191" s="61"/>
    </row>
    <row r="192" s="2" customFormat="1" ht="84" customHeight="1" spans="1:8">
      <c r="A192" s="36">
        <v>3</v>
      </c>
      <c r="B192" s="37" t="s">
        <v>41</v>
      </c>
      <c r="C192" s="58" t="s">
        <v>199</v>
      </c>
      <c r="D192" s="38" t="s">
        <v>117</v>
      </c>
      <c r="E192" s="60">
        <f>E190</f>
        <v>21.628</v>
      </c>
      <c r="F192" s="39">
        <v>26.32</v>
      </c>
      <c r="G192" s="28">
        <f t="shared" si="12"/>
        <v>569.25</v>
      </c>
      <c r="H192" s="41"/>
    </row>
    <row r="193" s="1" customFormat="1" spans="1:8">
      <c r="A193" s="36"/>
      <c r="B193" s="37" t="s">
        <v>195</v>
      </c>
      <c r="C193" s="37"/>
      <c r="D193" s="38"/>
      <c r="E193" s="39"/>
      <c r="F193" s="39"/>
      <c r="G193" s="28"/>
      <c r="H193" s="41"/>
    </row>
    <row r="194" s="2" customFormat="1" ht="55" customHeight="1" spans="1:8">
      <c r="A194" s="36">
        <v>1</v>
      </c>
      <c r="B194" s="37" t="s">
        <v>196</v>
      </c>
      <c r="C194" s="58" t="s">
        <v>197</v>
      </c>
      <c r="D194" s="38" t="s">
        <v>31</v>
      </c>
      <c r="E194" s="39">
        <f>8.68+9</f>
        <v>17.68</v>
      </c>
      <c r="F194" s="39">
        <v>16.92</v>
      </c>
      <c r="G194" s="28">
        <f t="shared" ref="G194:G197" si="13">ROUND(E194*F194,2)</f>
        <v>299.15</v>
      </c>
      <c r="H194" s="61"/>
    </row>
    <row r="195" s="2" customFormat="1" ht="66" customHeight="1" spans="1:8">
      <c r="A195" s="36">
        <v>2</v>
      </c>
      <c r="B195" s="37" t="s">
        <v>213</v>
      </c>
      <c r="C195" s="58" t="s">
        <v>214</v>
      </c>
      <c r="D195" s="38" t="s">
        <v>117</v>
      </c>
      <c r="E195" s="39">
        <f>(0.85+0.73+1.06+1.18)*3</f>
        <v>11.46</v>
      </c>
      <c r="F195" s="39">
        <v>423</v>
      </c>
      <c r="G195" s="28">
        <f t="shared" si="13"/>
        <v>4847.58</v>
      </c>
      <c r="H195" s="41"/>
    </row>
    <row r="196" s="7" customFormat="1" ht="69" customHeight="1" spans="1:8">
      <c r="A196" s="36">
        <v>3</v>
      </c>
      <c r="B196" s="58" t="s">
        <v>261</v>
      </c>
      <c r="C196" s="58" t="s">
        <v>262</v>
      </c>
      <c r="D196" s="38" t="s">
        <v>117</v>
      </c>
      <c r="E196" s="39">
        <f>(8.68+9)*3-11.46</f>
        <v>41.58</v>
      </c>
      <c r="F196" s="39">
        <v>197.4</v>
      </c>
      <c r="G196" s="28">
        <f t="shared" si="13"/>
        <v>8207.89</v>
      </c>
      <c r="H196" s="41"/>
    </row>
    <row r="197" s="2" customFormat="1" ht="78" customHeight="1" spans="1:8">
      <c r="A197" s="36">
        <v>5</v>
      </c>
      <c r="B197" s="37" t="s">
        <v>221</v>
      </c>
      <c r="C197" s="58" t="s">
        <v>222</v>
      </c>
      <c r="D197" s="38" t="s">
        <v>154</v>
      </c>
      <c r="E197" s="39">
        <v>1</v>
      </c>
      <c r="F197" s="39">
        <v>987</v>
      </c>
      <c r="G197" s="28">
        <f t="shared" si="13"/>
        <v>987</v>
      </c>
      <c r="H197" s="41"/>
    </row>
    <row r="198" s="1" customFormat="1" spans="1:8">
      <c r="A198" s="36"/>
      <c r="B198" s="37" t="s">
        <v>263</v>
      </c>
      <c r="C198" s="37"/>
      <c r="D198" s="38"/>
      <c r="E198" s="39"/>
      <c r="F198" s="39"/>
      <c r="G198" s="28"/>
      <c r="H198" s="41"/>
    </row>
    <row r="199" s="1" customFormat="1" spans="1:8">
      <c r="A199" s="36"/>
      <c r="B199" s="37" t="s">
        <v>158</v>
      </c>
      <c r="C199" s="37"/>
      <c r="D199" s="38"/>
      <c r="E199" s="39"/>
      <c r="F199" s="39"/>
      <c r="G199" s="28"/>
      <c r="H199" s="41"/>
    </row>
    <row r="200" s="3" customFormat="1" ht="92" customHeight="1" spans="1:8">
      <c r="A200" s="36">
        <v>1</v>
      </c>
      <c r="B200" s="59" t="s">
        <v>264</v>
      </c>
      <c r="C200" s="59" t="s">
        <v>265</v>
      </c>
      <c r="D200" s="38" t="s">
        <v>117</v>
      </c>
      <c r="E200" s="60">
        <f>70.91+11.31*0.25+0.17</f>
        <v>73.9075</v>
      </c>
      <c r="F200" s="60">
        <v>98.7</v>
      </c>
      <c r="G200" s="28">
        <f t="shared" ref="G200:G208" si="14">ROUND(E200*F200,2)</f>
        <v>7294.67</v>
      </c>
      <c r="H200" s="41"/>
    </row>
    <row r="201" s="1" customFormat="1" spans="1:8">
      <c r="A201" s="36"/>
      <c r="B201" s="37" t="s">
        <v>161</v>
      </c>
      <c r="C201" s="37"/>
      <c r="D201" s="38"/>
      <c r="E201" s="39"/>
      <c r="F201" s="39"/>
      <c r="G201" s="28"/>
      <c r="H201" s="41"/>
    </row>
    <row r="202" s="2" customFormat="1" ht="81" customHeight="1" spans="1:8">
      <c r="A202" s="36">
        <v>1</v>
      </c>
      <c r="B202" s="37" t="s">
        <v>209</v>
      </c>
      <c r="C202" s="58" t="s">
        <v>210</v>
      </c>
      <c r="D202" s="38" t="s">
        <v>117</v>
      </c>
      <c r="E202" s="60">
        <f>70.91+8.2*0.5*2*2</f>
        <v>87.31</v>
      </c>
      <c r="F202" s="39">
        <v>18.8</v>
      </c>
      <c r="G202" s="28">
        <f t="shared" si="14"/>
        <v>1641.43</v>
      </c>
      <c r="H202" s="61"/>
    </row>
    <row r="203" s="4" customFormat="1" spans="1:8">
      <c r="A203" s="36"/>
      <c r="B203" s="37" t="s">
        <v>195</v>
      </c>
      <c r="C203" s="37"/>
      <c r="D203" s="38"/>
      <c r="E203" s="39"/>
      <c r="F203" s="39"/>
      <c r="G203" s="28"/>
      <c r="H203" s="41"/>
    </row>
    <row r="204" s="2" customFormat="1" ht="55" customHeight="1" spans="1:8">
      <c r="A204" s="36">
        <v>1</v>
      </c>
      <c r="B204" s="37" t="s">
        <v>196</v>
      </c>
      <c r="C204" s="58" t="s">
        <v>197</v>
      </c>
      <c r="D204" s="38" t="s">
        <v>31</v>
      </c>
      <c r="E204" s="39">
        <f>35.29-1.2</f>
        <v>34.09</v>
      </c>
      <c r="F204" s="39">
        <v>16.92</v>
      </c>
      <c r="G204" s="28">
        <f t="shared" si="14"/>
        <v>576.8</v>
      </c>
      <c r="H204" s="41"/>
    </row>
    <row r="205" s="2" customFormat="1" ht="78" customHeight="1" spans="1:8">
      <c r="A205" s="36">
        <v>2</v>
      </c>
      <c r="B205" s="37" t="s">
        <v>198</v>
      </c>
      <c r="C205" s="58" t="s">
        <v>199</v>
      </c>
      <c r="D205" s="38" t="s">
        <v>117</v>
      </c>
      <c r="E205" s="39">
        <f>35.29*3.1-1.2*2.3</f>
        <v>106.639</v>
      </c>
      <c r="F205" s="39">
        <v>26.32</v>
      </c>
      <c r="G205" s="28">
        <f t="shared" si="14"/>
        <v>2806.74</v>
      </c>
      <c r="H205" s="41"/>
    </row>
    <row r="206" s="2" customFormat="1" ht="78" customHeight="1" spans="1:8">
      <c r="A206" s="36">
        <v>3</v>
      </c>
      <c r="B206" s="37" t="s">
        <v>200</v>
      </c>
      <c r="C206" s="58" t="s">
        <v>201</v>
      </c>
      <c r="D206" s="38" t="s">
        <v>117</v>
      </c>
      <c r="E206" s="39">
        <f>35.29*(4.05-3.1)</f>
        <v>33.5255</v>
      </c>
      <c r="F206" s="39">
        <v>26.32</v>
      </c>
      <c r="G206" s="28">
        <f t="shared" si="14"/>
        <v>882.39</v>
      </c>
      <c r="H206" s="41"/>
    </row>
    <row r="207" s="2" customFormat="1" ht="66" customHeight="1" spans="1:8">
      <c r="A207" s="36">
        <v>4</v>
      </c>
      <c r="B207" s="37" t="s">
        <v>202</v>
      </c>
      <c r="C207" s="58" t="s">
        <v>266</v>
      </c>
      <c r="D207" s="38" t="s">
        <v>154</v>
      </c>
      <c r="E207" s="39">
        <v>1</v>
      </c>
      <c r="F207" s="39">
        <v>1974</v>
      </c>
      <c r="G207" s="28">
        <f t="shared" si="14"/>
        <v>1974</v>
      </c>
      <c r="H207" s="41"/>
    </row>
    <row r="208" s="2" customFormat="1" ht="62" customHeight="1" spans="1:8">
      <c r="A208" s="36">
        <v>5</v>
      </c>
      <c r="B208" s="37" t="s">
        <v>267</v>
      </c>
      <c r="C208" s="58" t="s">
        <v>203</v>
      </c>
      <c r="D208" s="38" t="s">
        <v>154</v>
      </c>
      <c r="E208" s="39">
        <v>1</v>
      </c>
      <c r="F208" s="39">
        <v>1128</v>
      </c>
      <c r="G208" s="28">
        <f t="shared" si="14"/>
        <v>1128</v>
      </c>
      <c r="H208" s="41"/>
    </row>
    <row r="209" s="1" customFormat="1" spans="1:8">
      <c r="A209" s="36"/>
      <c r="B209" s="37" t="s">
        <v>268</v>
      </c>
      <c r="C209" s="37"/>
      <c r="D209" s="38"/>
      <c r="E209" s="39"/>
      <c r="F209" s="39"/>
      <c r="G209" s="28"/>
      <c r="H209" s="41"/>
    </row>
    <row r="210" s="1" customFormat="1" spans="1:8">
      <c r="A210" s="36"/>
      <c r="B210" s="37" t="s">
        <v>158</v>
      </c>
      <c r="C210" s="37"/>
      <c r="D210" s="38"/>
      <c r="E210" s="39"/>
      <c r="F210" s="39"/>
      <c r="G210" s="28"/>
      <c r="H210" s="41"/>
    </row>
    <row r="211" s="6" customFormat="1" ht="78" customHeight="1" spans="1:8">
      <c r="A211" s="36">
        <v>1</v>
      </c>
      <c r="B211" s="59" t="s">
        <v>269</v>
      </c>
      <c r="C211" s="59" t="s">
        <v>270</v>
      </c>
      <c r="D211" s="38" t="s">
        <v>117</v>
      </c>
      <c r="E211" s="60">
        <f>47.35+9.5*0.25</f>
        <v>49.725</v>
      </c>
      <c r="F211" s="60">
        <v>145.7</v>
      </c>
      <c r="G211" s="28">
        <f t="shared" ref="G211:G216" si="15">ROUND(E211*F211,2)</f>
        <v>7244.93</v>
      </c>
      <c r="H211" s="41"/>
    </row>
    <row r="212" s="2" customFormat="1" ht="64" customHeight="1" spans="1:8">
      <c r="A212" s="36">
        <v>2</v>
      </c>
      <c r="B212" s="59" t="s">
        <v>271</v>
      </c>
      <c r="C212" s="59" t="s">
        <v>272</v>
      </c>
      <c r="D212" s="38" t="s">
        <v>31</v>
      </c>
      <c r="E212" s="60">
        <v>7.65</v>
      </c>
      <c r="F212" s="60">
        <v>20.68</v>
      </c>
      <c r="G212" s="28">
        <f t="shared" si="15"/>
        <v>158.2</v>
      </c>
      <c r="H212" s="41"/>
    </row>
    <row r="213" s="1" customFormat="1" spans="1:8">
      <c r="A213" s="36"/>
      <c r="B213" s="37" t="s">
        <v>161</v>
      </c>
      <c r="C213" s="37"/>
      <c r="D213" s="38"/>
      <c r="E213" s="39"/>
      <c r="F213" s="39"/>
      <c r="G213" s="28"/>
      <c r="H213" s="41"/>
    </row>
    <row r="214" s="2" customFormat="1" ht="78" customHeight="1" spans="1:8">
      <c r="A214" s="36">
        <v>1</v>
      </c>
      <c r="B214" s="37" t="s">
        <v>273</v>
      </c>
      <c r="C214" s="58" t="s">
        <v>208</v>
      </c>
      <c r="D214" s="38" t="s">
        <v>117</v>
      </c>
      <c r="E214" s="60">
        <f>40.23+9.71*(4.05-3)+7.65*0.1</f>
        <v>51.1905</v>
      </c>
      <c r="F214" s="39">
        <v>139.12</v>
      </c>
      <c r="G214" s="28">
        <f t="shared" si="15"/>
        <v>7121.62</v>
      </c>
      <c r="H214" s="41"/>
    </row>
    <row r="215" s="2" customFormat="1" ht="81" customHeight="1" spans="1:8">
      <c r="A215" s="36">
        <v>2</v>
      </c>
      <c r="B215" s="37" t="s">
        <v>209</v>
      </c>
      <c r="C215" s="58" t="s">
        <v>210</v>
      </c>
      <c r="D215" s="38" t="s">
        <v>117</v>
      </c>
      <c r="E215" s="60">
        <f>64.16-40.23</f>
        <v>23.93</v>
      </c>
      <c r="F215" s="39">
        <v>18.8</v>
      </c>
      <c r="G215" s="28">
        <f t="shared" si="15"/>
        <v>449.88</v>
      </c>
      <c r="H215" s="61"/>
    </row>
    <row r="216" s="2" customFormat="1" ht="78" customHeight="1" spans="1:8">
      <c r="A216" s="36">
        <v>3</v>
      </c>
      <c r="B216" s="37" t="s">
        <v>41</v>
      </c>
      <c r="C216" s="58" t="s">
        <v>199</v>
      </c>
      <c r="D216" s="38" t="s">
        <v>117</v>
      </c>
      <c r="E216" s="39">
        <f>E214</f>
        <v>51.1905</v>
      </c>
      <c r="F216" s="39">
        <v>26.32</v>
      </c>
      <c r="G216" s="28">
        <f t="shared" si="15"/>
        <v>1347.33</v>
      </c>
      <c r="H216" s="41"/>
    </row>
    <row r="217" s="1" customFormat="1" spans="1:8">
      <c r="A217" s="36"/>
      <c r="B217" s="37" t="s">
        <v>195</v>
      </c>
      <c r="C217" s="37"/>
      <c r="D217" s="38"/>
      <c r="E217" s="39"/>
      <c r="F217" s="39"/>
      <c r="G217" s="28"/>
      <c r="H217" s="41"/>
    </row>
    <row r="218" s="2" customFormat="1" ht="55" customHeight="1" spans="1:8">
      <c r="A218" s="36">
        <v>1</v>
      </c>
      <c r="B218" s="37" t="s">
        <v>196</v>
      </c>
      <c r="C218" s="58" t="s">
        <v>197</v>
      </c>
      <c r="D218" s="38" t="s">
        <v>31</v>
      </c>
      <c r="E218" s="39">
        <f>7.62+0.83+0.3-1.2</f>
        <v>7.55</v>
      </c>
      <c r="F218" s="39">
        <v>16.92</v>
      </c>
      <c r="G218" s="28">
        <f t="shared" ref="G218:G223" si="16">ROUND(E218*F218,2)</f>
        <v>127.75</v>
      </c>
      <c r="H218" s="61" t="s">
        <v>211</v>
      </c>
    </row>
    <row r="219" s="2" customFormat="1" ht="78" customHeight="1" spans="1:8">
      <c r="A219" s="36">
        <v>2</v>
      </c>
      <c r="B219" s="37" t="s">
        <v>198</v>
      </c>
      <c r="C219" s="58" t="s">
        <v>199</v>
      </c>
      <c r="D219" s="38" t="s">
        <v>117</v>
      </c>
      <c r="E219" s="39">
        <f>(7.62+0.3)*3.1-1.2*3.1</f>
        <v>20.832</v>
      </c>
      <c r="F219" s="39">
        <v>26.32</v>
      </c>
      <c r="G219" s="28">
        <f t="shared" si="16"/>
        <v>548.3</v>
      </c>
      <c r="H219" s="61" t="s">
        <v>211</v>
      </c>
    </row>
    <row r="220" s="2" customFormat="1" ht="78" customHeight="1" spans="1:8">
      <c r="A220" s="36">
        <v>3</v>
      </c>
      <c r="B220" s="37" t="s">
        <v>200</v>
      </c>
      <c r="C220" s="58" t="s">
        <v>201</v>
      </c>
      <c r="D220" s="38" t="s">
        <v>117</v>
      </c>
      <c r="E220" s="39">
        <f>(7.83+8.28+8.5)*(4.05-3.1)</f>
        <v>23.3795</v>
      </c>
      <c r="F220" s="39">
        <v>26.32</v>
      </c>
      <c r="G220" s="28">
        <f t="shared" si="16"/>
        <v>615.35</v>
      </c>
      <c r="H220" s="61"/>
    </row>
    <row r="221" s="2" customFormat="1" ht="78" customHeight="1" spans="1:8">
      <c r="A221" s="36">
        <v>4</v>
      </c>
      <c r="B221" s="37" t="s">
        <v>213</v>
      </c>
      <c r="C221" s="58" t="s">
        <v>214</v>
      </c>
      <c r="D221" s="38" t="s">
        <v>117</v>
      </c>
      <c r="E221" s="39">
        <f>0.803*4.05</f>
        <v>3.25215</v>
      </c>
      <c r="F221" s="39">
        <v>423</v>
      </c>
      <c r="G221" s="28">
        <f t="shared" si="16"/>
        <v>1375.66</v>
      </c>
      <c r="H221" s="61" t="s">
        <v>211</v>
      </c>
    </row>
    <row r="222" s="8" customFormat="1" ht="42" customHeight="1" spans="1:8">
      <c r="A222" s="62">
        <v>5</v>
      </c>
      <c r="B222" s="63" t="s">
        <v>239</v>
      </c>
      <c r="C222" s="64" t="s">
        <v>274</v>
      </c>
      <c r="D222" s="65" t="s">
        <v>117</v>
      </c>
      <c r="E222" s="66">
        <f>6.81*3</f>
        <v>20.43</v>
      </c>
      <c r="F222" s="66">
        <v>0</v>
      </c>
      <c r="G222" s="67">
        <f t="shared" si="16"/>
        <v>0</v>
      </c>
      <c r="H222" s="68" t="s">
        <v>217</v>
      </c>
    </row>
    <row r="223" s="8" customFormat="1" ht="42" customHeight="1" spans="1:8">
      <c r="A223" s="62">
        <v>6</v>
      </c>
      <c r="B223" s="63" t="s">
        <v>239</v>
      </c>
      <c r="C223" s="64" t="s">
        <v>275</v>
      </c>
      <c r="D223" s="65" t="s">
        <v>117</v>
      </c>
      <c r="E223" s="66">
        <f>2.5*3</f>
        <v>7.5</v>
      </c>
      <c r="F223" s="66">
        <v>0</v>
      </c>
      <c r="G223" s="67">
        <f t="shared" si="16"/>
        <v>0</v>
      </c>
      <c r="H223" s="68" t="s">
        <v>217</v>
      </c>
    </row>
    <row r="224" s="1" customFormat="1" spans="1:8">
      <c r="A224" s="36"/>
      <c r="B224" s="37" t="s">
        <v>276</v>
      </c>
      <c r="C224" s="37"/>
      <c r="D224" s="38"/>
      <c r="E224" s="39"/>
      <c r="F224" s="39"/>
      <c r="G224" s="28"/>
      <c r="H224" s="41"/>
    </row>
    <row r="225" s="1" customFormat="1" spans="1:8">
      <c r="A225" s="36"/>
      <c r="B225" s="37" t="s">
        <v>158</v>
      </c>
      <c r="C225" s="37"/>
      <c r="D225" s="38"/>
      <c r="E225" s="39"/>
      <c r="F225" s="39"/>
      <c r="G225" s="28"/>
      <c r="H225" s="41"/>
    </row>
    <row r="226" s="3" customFormat="1" ht="85" customHeight="1" spans="1:8">
      <c r="A226" s="36">
        <v>1</v>
      </c>
      <c r="B226" s="59" t="s">
        <v>205</v>
      </c>
      <c r="C226" s="59" t="s">
        <v>206</v>
      </c>
      <c r="D226" s="38" t="s">
        <v>117</v>
      </c>
      <c r="E226" s="60">
        <f>45.86+4.6*0.25+0.26</f>
        <v>47.27</v>
      </c>
      <c r="F226" s="60">
        <v>120.32</v>
      </c>
      <c r="G226" s="28">
        <f t="shared" ref="G226:G233" si="17">ROUND(E226*F226,2)</f>
        <v>5687.53</v>
      </c>
      <c r="H226" s="41"/>
    </row>
    <row r="227" s="1" customFormat="1" spans="1:8">
      <c r="A227" s="36"/>
      <c r="B227" s="37" t="s">
        <v>161</v>
      </c>
      <c r="C227" s="37"/>
      <c r="D227" s="38"/>
      <c r="E227" s="39"/>
      <c r="F227" s="39"/>
      <c r="G227" s="28"/>
      <c r="H227" s="41"/>
    </row>
    <row r="228" s="2" customFormat="1" ht="63" customHeight="1" spans="1:8">
      <c r="A228" s="36">
        <v>1</v>
      </c>
      <c r="B228" s="37" t="s">
        <v>209</v>
      </c>
      <c r="C228" s="58" t="s">
        <v>210</v>
      </c>
      <c r="D228" s="38" t="s">
        <v>117</v>
      </c>
      <c r="E228" s="60">
        <f>45.86*1.05</f>
        <v>48.153</v>
      </c>
      <c r="F228" s="39">
        <v>18.8</v>
      </c>
      <c r="G228" s="28">
        <f t="shared" si="17"/>
        <v>905.28</v>
      </c>
      <c r="H228" s="61"/>
    </row>
    <row r="229" s="1" customFormat="1" spans="1:8">
      <c r="A229" s="36"/>
      <c r="B229" s="37" t="s">
        <v>195</v>
      </c>
      <c r="C229" s="37"/>
      <c r="D229" s="38"/>
      <c r="E229" s="39"/>
      <c r="F229" s="39"/>
      <c r="G229" s="28"/>
      <c r="H229" s="41"/>
    </row>
    <row r="230" s="2" customFormat="1" ht="55" customHeight="1" spans="1:8">
      <c r="A230" s="36">
        <v>1</v>
      </c>
      <c r="B230" s="37" t="s">
        <v>196</v>
      </c>
      <c r="C230" s="58" t="s">
        <v>197</v>
      </c>
      <c r="D230" s="38" t="s">
        <v>31</v>
      </c>
      <c r="E230" s="39">
        <f>23.15-0.9</f>
        <v>22.25</v>
      </c>
      <c r="F230" s="39">
        <v>16.92</v>
      </c>
      <c r="G230" s="28">
        <f t="shared" si="17"/>
        <v>376.47</v>
      </c>
      <c r="H230" s="41"/>
    </row>
    <row r="231" s="2" customFormat="1" ht="78" customHeight="1" spans="1:8">
      <c r="A231" s="36">
        <v>2</v>
      </c>
      <c r="B231" s="37" t="s">
        <v>198</v>
      </c>
      <c r="C231" s="58" t="s">
        <v>199</v>
      </c>
      <c r="D231" s="38" t="s">
        <v>117</v>
      </c>
      <c r="E231" s="39">
        <f>23.15*3.1-0.9*2.3</f>
        <v>69.695</v>
      </c>
      <c r="F231" s="39">
        <v>26.32</v>
      </c>
      <c r="G231" s="28">
        <f t="shared" si="17"/>
        <v>1834.37</v>
      </c>
      <c r="H231" s="41"/>
    </row>
    <row r="232" s="2" customFormat="1" ht="78" customHeight="1" spans="1:8">
      <c r="A232" s="36">
        <v>3</v>
      </c>
      <c r="B232" s="37" t="s">
        <v>200</v>
      </c>
      <c r="C232" s="58" t="s">
        <v>201</v>
      </c>
      <c r="D232" s="38" t="s">
        <v>117</v>
      </c>
      <c r="E232" s="39">
        <f>23.15*(4.05-3.1)</f>
        <v>21.9925</v>
      </c>
      <c r="F232" s="39">
        <v>26.32</v>
      </c>
      <c r="G232" s="28">
        <f t="shared" si="17"/>
        <v>578.84</v>
      </c>
      <c r="H232" s="41"/>
    </row>
    <row r="233" s="2" customFormat="1" ht="68" customHeight="1" spans="1:8">
      <c r="A233" s="36">
        <v>4</v>
      </c>
      <c r="B233" s="37" t="s">
        <v>202</v>
      </c>
      <c r="C233" s="58" t="s">
        <v>203</v>
      </c>
      <c r="D233" s="38" t="s">
        <v>154</v>
      </c>
      <c r="E233" s="39">
        <v>1</v>
      </c>
      <c r="F233" s="39">
        <v>1128</v>
      </c>
      <c r="G233" s="28">
        <f t="shared" si="17"/>
        <v>1128</v>
      </c>
      <c r="H233" s="41"/>
    </row>
    <row r="234" s="4" customFormat="1" spans="1:8">
      <c r="A234" s="36"/>
      <c r="B234" s="37" t="s">
        <v>277</v>
      </c>
      <c r="C234" s="37"/>
      <c r="D234" s="38"/>
      <c r="E234" s="39"/>
      <c r="F234" s="39"/>
      <c r="G234" s="28"/>
      <c r="H234" s="41"/>
    </row>
    <row r="235" s="4" customFormat="1" spans="1:8">
      <c r="A235" s="36"/>
      <c r="B235" s="37" t="s">
        <v>158</v>
      </c>
      <c r="C235" s="37"/>
      <c r="D235" s="38"/>
      <c r="E235" s="39"/>
      <c r="F235" s="39"/>
      <c r="G235" s="28"/>
      <c r="H235" s="41"/>
    </row>
    <row r="236" s="2" customFormat="1" ht="93" customHeight="1" spans="1:8">
      <c r="A236" s="36">
        <v>1</v>
      </c>
      <c r="B236" s="59" t="s">
        <v>278</v>
      </c>
      <c r="C236" s="59" t="s">
        <v>279</v>
      </c>
      <c r="D236" s="38" t="s">
        <v>117</v>
      </c>
      <c r="E236" s="60">
        <f>6.06+14.61+10.65+8.5+14.15*0.25+(0.11+0.2+0.26+0.26)</f>
        <v>44.1875</v>
      </c>
      <c r="F236" s="60">
        <v>110.92</v>
      </c>
      <c r="G236" s="28">
        <f t="shared" ref="G236:G240" si="18">ROUND(E236*F236,2)</f>
        <v>4901.28</v>
      </c>
      <c r="H236" s="41"/>
    </row>
    <row r="237" s="2" customFormat="1" ht="52" customHeight="1" spans="1:8">
      <c r="A237" s="36">
        <v>3</v>
      </c>
      <c r="B237" s="59" t="s">
        <v>280</v>
      </c>
      <c r="C237" s="59" t="s">
        <v>281</v>
      </c>
      <c r="D237" s="38" t="s">
        <v>117</v>
      </c>
      <c r="E237" s="60">
        <f>6.06+14.61+10.65</f>
        <v>31.32</v>
      </c>
      <c r="F237" s="28">
        <v>157.92</v>
      </c>
      <c r="G237" s="28">
        <f t="shared" si="18"/>
        <v>4946.05</v>
      </c>
      <c r="H237" s="41"/>
    </row>
    <row r="238" s="2" customFormat="1" ht="54" customHeight="1" spans="1:8">
      <c r="A238" s="36">
        <v>4</v>
      </c>
      <c r="B238" s="59" t="s">
        <v>282</v>
      </c>
      <c r="C238" s="59" t="s">
        <v>283</v>
      </c>
      <c r="D238" s="38" t="s">
        <v>117</v>
      </c>
      <c r="E238" s="60">
        <f>3.69+3.14</f>
        <v>6.83</v>
      </c>
      <c r="F238" s="28">
        <v>112.8</v>
      </c>
      <c r="G238" s="28">
        <f t="shared" si="18"/>
        <v>770.42</v>
      </c>
      <c r="H238" s="41"/>
    </row>
    <row r="239" s="2" customFormat="1" ht="61" customHeight="1" spans="1:8">
      <c r="A239" s="36">
        <v>5</v>
      </c>
      <c r="B239" s="59" t="s">
        <v>243</v>
      </c>
      <c r="C239" s="59" t="s">
        <v>244</v>
      </c>
      <c r="D239" s="38" t="s">
        <v>117</v>
      </c>
      <c r="E239" s="60">
        <f>6.06+14.61+10.65+8.5</f>
        <v>39.82</v>
      </c>
      <c r="F239" s="60">
        <v>33.84</v>
      </c>
      <c r="G239" s="28">
        <f t="shared" si="18"/>
        <v>1347.51</v>
      </c>
      <c r="H239" s="41"/>
    </row>
    <row r="240" s="2" customFormat="1" ht="48" customHeight="1" spans="1:8">
      <c r="A240" s="36">
        <v>6</v>
      </c>
      <c r="B240" s="59" t="s">
        <v>245</v>
      </c>
      <c r="C240" s="59" t="s">
        <v>246</v>
      </c>
      <c r="D240" s="38" t="s">
        <v>117</v>
      </c>
      <c r="E240" s="60">
        <f>E239</f>
        <v>39.82</v>
      </c>
      <c r="F240" s="60">
        <v>13.16</v>
      </c>
      <c r="G240" s="28">
        <f t="shared" si="18"/>
        <v>524.03</v>
      </c>
      <c r="H240" s="41"/>
    </row>
    <row r="241" s="4" customFormat="1" spans="1:8">
      <c r="A241" s="36"/>
      <c r="B241" s="37" t="s">
        <v>161</v>
      </c>
      <c r="C241" s="37"/>
      <c r="D241" s="38"/>
      <c r="E241" s="39"/>
      <c r="F241" s="39"/>
      <c r="G241" s="28"/>
      <c r="H241" s="41"/>
    </row>
    <row r="242" s="2" customFormat="1" ht="59" customHeight="1" spans="1:8">
      <c r="A242" s="36">
        <v>1</v>
      </c>
      <c r="B242" s="59" t="s">
        <v>284</v>
      </c>
      <c r="C242" s="59" t="s">
        <v>285</v>
      </c>
      <c r="D242" s="38" t="s">
        <v>117</v>
      </c>
      <c r="E242" s="39">
        <f>39.82+14.15*0.5</f>
        <v>46.895</v>
      </c>
      <c r="F242" s="39">
        <v>108.1</v>
      </c>
      <c r="G242" s="28">
        <f t="shared" ref="G242:G254" si="19">ROUND(E242*F242,2)</f>
        <v>5069.35</v>
      </c>
      <c r="H242" s="41"/>
    </row>
    <row r="243" s="4" customFormat="1" spans="1:8">
      <c r="A243" s="36"/>
      <c r="B243" s="37" t="s">
        <v>195</v>
      </c>
      <c r="C243" s="37"/>
      <c r="D243" s="38"/>
      <c r="E243" s="39"/>
      <c r="F243" s="39"/>
      <c r="G243" s="28"/>
      <c r="H243" s="41"/>
    </row>
    <row r="244" s="2" customFormat="1" ht="56" customHeight="1" spans="1:8">
      <c r="A244" s="36">
        <v>1</v>
      </c>
      <c r="B244" s="59" t="s">
        <v>250</v>
      </c>
      <c r="C244" s="59" t="s">
        <v>251</v>
      </c>
      <c r="D244" s="38" t="s">
        <v>117</v>
      </c>
      <c r="E244" s="28">
        <f>(7.91-0.8+13.67-0.9+11.3-0.9+12.74-0.9*3)*1.8</f>
        <v>72.576</v>
      </c>
      <c r="F244" s="28">
        <v>33.84</v>
      </c>
      <c r="G244" s="28">
        <f t="shared" si="19"/>
        <v>2455.97</v>
      </c>
      <c r="H244" s="41"/>
    </row>
    <row r="245" s="2" customFormat="1" ht="44" customHeight="1" spans="1:8">
      <c r="A245" s="36">
        <v>2</v>
      </c>
      <c r="B245" s="59" t="s">
        <v>245</v>
      </c>
      <c r="C245" s="59" t="s">
        <v>246</v>
      </c>
      <c r="D245" s="38" t="s">
        <v>117</v>
      </c>
      <c r="E245" s="28">
        <f>E244</f>
        <v>72.576</v>
      </c>
      <c r="F245" s="28">
        <v>13.16</v>
      </c>
      <c r="G245" s="28">
        <f t="shared" si="19"/>
        <v>955.1</v>
      </c>
      <c r="H245" s="41"/>
    </row>
    <row r="246" s="7" customFormat="1" ht="71" customHeight="1" spans="1:8">
      <c r="A246" s="36">
        <v>3</v>
      </c>
      <c r="B246" s="58" t="s">
        <v>252</v>
      </c>
      <c r="C246" s="58" t="s">
        <v>253</v>
      </c>
      <c r="D246" s="38" t="s">
        <v>117</v>
      </c>
      <c r="E246" s="28">
        <f>(7.91-0.8+13.67-0.9+11.3-0.9+12.74)*3-0.6*2.1-0.9*3*2.3</f>
        <v>121.59</v>
      </c>
      <c r="F246" s="39">
        <v>108.1</v>
      </c>
      <c r="G246" s="28">
        <f t="shared" si="19"/>
        <v>13143.88</v>
      </c>
      <c r="H246" s="41"/>
    </row>
    <row r="247" s="2" customFormat="1" ht="36" customHeight="1" spans="1:8">
      <c r="A247" s="62">
        <v>4</v>
      </c>
      <c r="B247" s="63" t="s">
        <v>286</v>
      </c>
      <c r="C247" s="64" t="s">
        <v>287</v>
      </c>
      <c r="D247" s="65" t="s">
        <v>154</v>
      </c>
      <c r="E247" s="66">
        <v>1</v>
      </c>
      <c r="F247" s="66">
        <v>0</v>
      </c>
      <c r="G247" s="67">
        <f t="shared" si="19"/>
        <v>0</v>
      </c>
      <c r="H247" s="69" t="s">
        <v>288</v>
      </c>
    </row>
    <row r="248" s="2" customFormat="1" ht="70" customHeight="1" spans="1:8">
      <c r="A248" s="36">
        <v>5</v>
      </c>
      <c r="B248" s="37" t="s">
        <v>289</v>
      </c>
      <c r="C248" s="58" t="s">
        <v>290</v>
      </c>
      <c r="D248" s="38" t="s">
        <v>117</v>
      </c>
      <c r="E248" s="39">
        <f>(0.345+0.385)*3</f>
        <v>2.19</v>
      </c>
      <c r="F248" s="39">
        <v>517</v>
      </c>
      <c r="G248" s="28">
        <f t="shared" si="19"/>
        <v>1132.23</v>
      </c>
      <c r="H248" s="41"/>
    </row>
    <row r="249" s="7" customFormat="1" ht="61" customHeight="1" spans="1:8">
      <c r="A249" s="36">
        <v>6</v>
      </c>
      <c r="B249" s="58" t="s">
        <v>291</v>
      </c>
      <c r="C249" s="58" t="s">
        <v>292</v>
      </c>
      <c r="D249" s="38" t="s">
        <v>117</v>
      </c>
      <c r="E249" s="28">
        <f>(2.73+1.29*3+2.67+2.56+1.312+1.02)*2+4*0.4*1.65</f>
        <v>30.964</v>
      </c>
      <c r="F249" s="39">
        <v>329</v>
      </c>
      <c r="G249" s="28">
        <f t="shared" si="19"/>
        <v>10187.16</v>
      </c>
      <c r="H249" s="41"/>
    </row>
    <row r="250" s="2" customFormat="1" ht="72" customHeight="1" spans="1:8">
      <c r="A250" s="36">
        <v>9</v>
      </c>
      <c r="B250" s="58" t="s">
        <v>293</v>
      </c>
      <c r="C250" s="58" t="s">
        <v>294</v>
      </c>
      <c r="D250" s="38" t="s">
        <v>31</v>
      </c>
      <c r="E250" s="28">
        <f>1.98*2</f>
        <v>3.96</v>
      </c>
      <c r="F250" s="39">
        <v>1128</v>
      </c>
      <c r="G250" s="28">
        <f t="shared" si="19"/>
        <v>4466.88</v>
      </c>
      <c r="H250" s="41"/>
    </row>
    <row r="251" s="2" customFormat="1" ht="74" customHeight="1" spans="1:8">
      <c r="A251" s="36">
        <v>10</v>
      </c>
      <c r="B251" s="58" t="s">
        <v>295</v>
      </c>
      <c r="C251" s="58" t="s">
        <v>296</v>
      </c>
      <c r="D251" s="38" t="s">
        <v>15</v>
      </c>
      <c r="E251" s="28">
        <f>1*1.98*2</f>
        <v>3.96</v>
      </c>
      <c r="F251" s="39">
        <v>157.92</v>
      </c>
      <c r="G251" s="28">
        <f t="shared" si="19"/>
        <v>625.36</v>
      </c>
      <c r="H251" s="41"/>
    </row>
    <row r="252" s="2" customFormat="1" ht="66" customHeight="1" spans="1:8">
      <c r="A252" s="36">
        <v>11</v>
      </c>
      <c r="B252" s="37" t="s">
        <v>202</v>
      </c>
      <c r="C252" s="58" t="s">
        <v>203</v>
      </c>
      <c r="D252" s="38" t="s">
        <v>154</v>
      </c>
      <c r="E252" s="39">
        <v>2</v>
      </c>
      <c r="F252" s="39">
        <v>1128</v>
      </c>
      <c r="G252" s="28">
        <f t="shared" si="19"/>
        <v>2256</v>
      </c>
      <c r="H252" s="41"/>
    </row>
    <row r="253" s="2" customFormat="1" ht="64" customHeight="1" spans="1:8">
      <c r="A253" s="36">
        <v>12</v>
      </c>
      <c r="B253" s="37" t="s">
        <v>202</v>
      </c>
      <c r="C253" s="58" t="s">
        <v>203</v>
      </c>
      <c r="D253" s="38" t="s">
        <v>154</v>
      </c>
      <c r="E253" s="39">
        <v>1</v>
      </c>
      <c r="F253" s="39">
        <v>1128</v>
      </c>
      <c r="G253" s="28">
        <f t="shared" si="19"/>
        <v>1128</v>
      </c>
      <c r="H253" s="41"/>
    </row>
    <row r="254" s="2" customFormat="1" ht="66" customHeight="1" spans="1:8">
      <c r="A254" s="36">
        <v>13</v>
      </c>
      <c r="B254" s="37" t="s">
        <v>202</v>
      </c>
      <c r="C254" s="58" t="s">
        <v>297</v>
      </c>
      <c r="D254" s="38" t="s">
        <v>154</v>
      </c>
      <c r="E254" s="39">
        <v>1</v>
      </c>
      <c r="F254" s="39">
        <v>987</v>
      </c>
      <c r="G254" s="28">
        <f t="shared" si="19"/>
        <v>987</v>
      </c>
      <c r="H254" s="41"/>
    </row>
    <row r="255" s="1" customFormat="1" ht="24" spans="1:8">
      <c r="A255" s="36"/>
      <c r="B255" s="37" t="s">
        <v>298</v>
      </c>
      <c r="C255" s="37"/>
      <c r="D255" s="38"/>
      <c r="E255" s="39"/>
      <c r="F255" s="39"/>
      <c r="G255" s="28"/>
      <c r="H255" s="41"/>
    </row>
    <row r="256" s="1" customFormat="1" spans="1:8">
      <c r="A256" s="36"/>
      <c r="B256" s="37" t="s">
        <v>158</v>
      </c>
      <c r="C256" s="37"/>
      <c r="D256" s="38"/>
      <c r="E256" s="39"/>
      <c r="F256" s="39"/>
      <c r="G256" s="28"/>
      <c r="H256" s="41"/>
    </row>
    <row r="257" s="7" customFormat="1" ht="91" customHeight="1" spans="1:8">
      <c r="A257" s="36">
        <v>1</v>
      </c>
      <c r="B257" s="59" t="s">
        <v>205</v>
      </c>
      <c r="C257" s="59" t="s">
        <v>206</v>
      </c>
      <c r="D257" s="38" t="s">
        <v>117</v>
      </c>
      <c r="E257" s="60">
        <f>349.95+(0.33*2+0.18+0.453*2+1.35+1.75+0.36+0.14+0.28)*0.25</f>
        <v>351.3565</v>
      </c>
      <c r="F257" s="60">
        <v>120.32</v>
      </c>
      <c r="G257" s="28">
        <f t="shared" ref="G257:G263" si="20">ROUND(E257*F257,2)</f>
        <v>42275.21</v>
      </c>
      <c r="H257" s="41"/>
    </row>
    <row r="258" s="1" customFormat="1" spans="1:8">
      <c r="A258" s="36"/>
      <c r="B258" s="37" t="s">
        <v>161</v>
      </c>
      <c r="C258" s="37"/>
      <c r="D258" s="38"/>
      <c r="E258" s="39"/>
      <c r="F258" s="39"/>
      <c r="G258" s="28"/>
      <c r="H258" s="41"/>
    </row>
    <row r="259" s="7" customFormat="1" ht="75" customHeight="1" spans="1:8">
      <c r="A259" s="36">
        <v>1</v>
      </c>
      <c r="B259" s="37" t="s">
        <v>299</v>
      </c>
      <c r="C259" s="58" t="s">
        <v>300</v>
      </c>
      <c r="D259" s="38" t="s">
        <v>117</v>
      </c>
      <c r="E259" s="39">
        <f>38.99+54.58-(16.6+18.56)*0.2+10.4*(4.05-3)</f>
        <v>97.458</v>
      </c>
      <c r="F259" s="39">
        <v>343.1</v>
      </c>
      <c r="G259" s="28">
        <f t="shared" si="20"/>
        <v>33437.84</v>
      </c>
      <c r="H259" s="41"/>
    </row>
    <row r="260" s="2" customFormat="1" ht="69" customHeight="1" spans="1:8">
      <c r="A260" s="36">
        <v>2</v>
      </c>
      <c r="B260" s="37" t="s">
        <v>301</v>
      </c>
      <c r="C260" s="58" t="s">
        <v>302</v>
      </c>
      <c r="D260" s="38" t="s">
        <v>31</v>
      </c>
      <c r="E260" s="39">
        <f>16.6+18.56+8.5*2</f>
        <v>52.16</v>
      </c>
      <c r="F260" s="39">
        <v>92.12</v>
      </c>
      <c r="G260" s="28">
        <f t="shared" si="20"/>
        <v>4804.98</v>
      </c>
      <c r="H260" s="41"/>
    </row>
    <row r="261" s="2" customFormat="1" ht="67" customHeight="1" spans="1:8">
      <c r="A261" s="36">
        <v>3</v>
      </c>
      <c r="B261" s="37" t="s">
        <v>303</v>
      </c>
      <c r="C261" s="58" t="s">
        <v>304</v>
      </c>
      <c r="D261" s="38" t="s">
        <v>117</v>
      </c>
      <c r="E261" s="39">
        <f>30.74+44.22</f>
        <v>74.96</v>
      </c>
      <c r="F261" s="39">
        <v>385.4</v>
      </c>
      <c r="G261" s="28">
        <f t="shared" si="20"/>
        <v>28889.58</v>
      </c>
      <c r="H261" s="41"/>
    </row>
    <row r="262" s="2" customFormat="1" ht="75" customHeight="1" spans="1:8">
      <c r="A262" s="36">
        <v>4</v>
      </c>
      <c r="B262" s="37" t="s">
        <v>305</v>
      </c>
      <c r="C262" s="58" t="s">
        <v>208</v>
      </c>
      <c r="D262" s="38" t="s">
        <v>117</v>
      </c>
      <c r="E262" s="39">
        <f>31.69</f>
        <v>31.69</v>
      </c>
      <c r="F262" s="39">
        <v>139.12</v>
      </c>
      <c r="G262" s="28">
        <f t="shared" si="20"/>
        <v>4408.71</v>
      </c>
      <c r="H262" s="41"/>
    </row>
    <row r="263" s="2" customFormat="1" ht="78" customHeight="1" spans="1:8">
      <c r="A263" s="36">
        <v>5</v>
      </c>
      <c r="B263" s="37" t="s">
        <v>41</v>
      </c>
      <c r="C263" s="58" t="s">
        <v>199</v>
      </c>
      <c r="D263" s="38" t="s">
        <v>117</v>
      </c>
      <c r="E263" s="39">
        <f>E260*0.5+E262</f>
        <v>57.77</v>
      </c>
      <c r="F263" s="39">
        <v>26.32</v>
      </c>
      <c r="G263" s="28">
        <f t="shared" si="20"/>
        <v>1520.51</v>
      </c>
      <c r="H263" s="41"/>
    </row>
    <row r="264" s="1" customFormat="1" spans="1:8">
      <c r="A264" s="36"/>
      <c r="B264" s="37" t="s">
        <v>195</v>
      </c>
      <c r="C264" s="37"/>
      <c r="D264" s="38"/>
      <c r="E264" s="39"/>
      <c r="F264" s="39"/>
      <c r="G264" s="28"/>
      <c r="H264" s="41"/>
    </row>
    <row r="265" s="2" customFormat="1" ht="55" customHeight="1" spans="1:8">
      <c r="A265" s="36">
        <v>1</v>
      </c>
      <c r="B265" s="37" t="s">
        <v>196</v>
      </c>
      <c r="C265" s="58" t="s">
        <v>197</v>
      </c>
      <c r="D265" s="38" t="s">
        <v>31</v>
      </c>
      <c r="E265" s="39">
        <f>(21.75-0.8-0.9-1.5-0.9+17.07-0.9*4+21.61-1.5-4.1+0.8+1.38)+(8.19+2.39)+25.02-1.1*2</f>
        <v>82.71</v>
      </c>
      <c r="F265" s="39">
        <v>16.92</v>
      </c>
      <c r="G265" s="28">
        <f t="shared" ref="G265:G273" si="21">ROUND(E265*F265,2)</f>
        <v>1399.45</v>
      </c>
      <c r="H265" s="41"/>
    </row>
    <row r="266" s="7" customFormat="1" ht="67" customHeight="1" spans="1:8">
      <c r="A266" s="36">
        <v>2</v>
      </c>
      <c r="B266" s="37" t="s">
        <v>306</v>
      </c>
      <c r="C266" s="58" t="s">
        <v>307</v>
      </c>
      <c r="D266" s="38" t="s">
        <v>117</v>
      </c>
      <c r="E266" s="39">
        <f>8.45*3-1.1*3*2-0.6*2.1</f>
        <v>17.49</v>
      </c>
      <c r="F266" s="39">
        <v>343.1</v>
      </c>
      <c r="G266" s="28">
        <f t="shared" si="21"/>
        <v>6000.82</v>
      </c>
      <c r="H266" s="41"/>
    </row>
    <row r="267" s="7" customFormat="1" ht="77" customHeight="1" spans="1:8">
      <c r="A267" s="36">
        <v>3</v>
      </c>
      <c r="B267" s="37" t="s">
        <v>308</v>
      </c>
      <c r="C267" s="58" t="s">
        <v>309</v>
      </c>
      <c r="D267" s="38" t="s">
        <v>154</v>
      </c>
      <c r="E267" s="39">
        <v>1</v>
      </c>
      <c r="F267" s="39">
        <v>1363</v>
      </c>
      <c r="G267" s="28">
        <f t="shared" si="21"/>
        <v>1363</v>
      </c>
      <c r="H267" s="41"/>
    </row>
    <row r="268" s="7" customFormat="1" ht="69" customHeight="1" spans="1:8">
      <c r="A268" s="36">
        <v>4</v>
      </c>
      <c r="B268" s="37" t="s">
        <v>310</v>
      </c>
      <c r="C268" s="58" t="s">
        <v>307</v>
      </c>
      <c r="D268" s="38" t="s">
        <v>117</v>
      </c>
      <c r="E268" s="39">
        <f>(21.75+17.07+21.61-4.1+0.8+1.38)*3+2.39*2.05+(1.1+0.2)*(3.3+4)-(1.2+1.5)*2.4-0.6*2.1-(0.8+0.9+1.5+0.9+0.9*4)*2.3</f>
        <v>164.4695</v>
      </c>
      <c r="F268" s="39">
        <v>343.1</v>
      </c>
      <c r="G268" s="28">
        <f t="shared" si="21"/>
        <v>56429.49</v>
      </c>
      <c r="H268" s="41"/>
    </row>
    <row r="269" s="7" customFormat="1" ht="78" customHeight="1" spans="1:8">
      <c r="A269" s="36">
        <v>5</v>
      </c>
      <c r="B269" s="37" t="s">
        <v>311</v>
      </c>
      <c r="C269" s="58" t="s">
        <v>312</v>
      </c>
      <c r="D269" s="38" t="s">
        <v>154</v>
      </c>
      <c r="E269" s="39">
        <v>1</v>
      </c>
      <c r="F269" s="39">
        <v>1128</v>
      </c>
      <c r="G269" s="28">
        <f t="shared" si="21"/>
        <v>1128</v>
      </c>
      <c r="H269" s="41"/>
    </row>
    <row r="270" s="7" customFormat="1" ht="75" customHeight="1" spans="1:8">
      <c r="A270" s="36">
        <v>6</v>
      </c>
      <c r="B270" s="37" t="s">
        <v>311</v>
      </c>
      <c r="C270" s="58" t="s">
        <v>313</v>
      </c>
      <c r="D270" s="38" t="s">
        <v>154</v>
      </c>
      <c r="E270" s="39">
        <v>1</v>
      </c>
      <c r="F270" s="39">
        <v>1128</v>
      </c>
      <c r="G270" s="28">
        <f t="shared" si="21"/>
        <v>1128</v>
      </c>
      <c r="H270" s="41"/>
    </row>
    <row r="271" s="7" customFormat="1" ht="75" customHeight="1" spans="1:8">
      <c r="A271" s="36">
        <v>7</v>
      </c>
      <c r="B271" s="37" t="s">
        <v>314</v>
      </c>
      <c r="C271" s="58" t="s">
        <v>315</v>
      </c>
      <c r="D271" s="38" t="s">
        <v>154</v>
      </c>
      <c r="E271" s="39">
        <v>1</v>
      </c>
      <c r="F271" s="39">
        <v>874.2</v>
      </c>
      <c r="G271" s="28">
        <f t="shared" si="21"/>
        <v>874.2</v>
      </c>
      <c r="H271" s="41"/>
    </row>
    <row r="272" s="7" customFormat="1" ht="81" customHeight="1" spans="1:8">
      <c r="A272" s="36">
        <v>8</v>
      </c>
      <c r="B272" s="37" t="s">
        <v>316</v>
      </c>
      <c r="C272" s="58" t="s">
        <v>317</v>
      </c>
      <c r="D272" s="38" t="s">
        <v>117</v>
      </c>
      <c r="E272" s="39">
        <f>5.5*7.6+2.39*3.05+4.13*7.6*2</f>
        <v>111.8655</v>
      </c>
      <c r="F272" s="39">
        <v>343.1</v>
      </c>
      <c r="G272" s="28">
        <f t="shared" si="21"/>
        <v>38381.05</v>
      </c>
      <c r="H272" s="41"/>
    </row>
    <row r="273" s="1" customFormat="1" ht="81" customHeight="1" spans="1:8">
      <c r="A273" s="36">
        <v>9</v>
      </c>
      <c r="B273" s="37" t="s">
        <v>318</v>
      </c>
      <c r="C273" s="58" t="s">
        <v>319</v>
      </c>
      <c r="D273" s="38" t="s">
        <v>117</v>
      </c>
      <c r="E273" s="39">
        <f>14.72*(7.6+2.2)+16.36*4.5</f>
        <v>217.876</v>
      </c>
      <c r="F273" s="39">
        <v>836.6</v>
      </c>
      <c r="G273" s="28">
        <f t="shared" si="21"/>
        <v>182275.06</v>
      </c>
      <c r="H273" s="41"/>
    </row>
    <row r="274" s="7" customFormat="1" ht="35" customHeight="1" spans="1:8">
      <c r="A274" s="36">
        <v>10</v>
      </c>
      <c r="B274" s="37" t="s">
        <v>320</v>
      </c>
      <c r="C274" s="58" t="s">
        <v>321</v>
      </c>
      <c r="D274" s="38" t="s">
        <v>117</v>
      </c>
      <c r="E274" s="39">
        <f>5.5*7.6</f>
        <v>41.8</v>
      </c>
      <c r="F274" s="39">
        <v>0</v>
      </c>
      <c r="G274" s="28">
        <v>0</v>
      </c>
      <c r="H274" s="61" t="s">
        <v>322</v>
      </c>
    </row>
    <row r="275" s="7" customFormat="1" ht="89" customHeight="1" spans="1:8">
      <c r="A275" s="36">
        <v>11</v>
      </c>
      <c r="B275" s="37" t="s">
        <v>323</v>
      </c>
      <c r="C275" s="58" t="s">
        <v>324</v>
      </c>
      <c r="D275" s="38" t="s">
        <v>15</v>
      </c>
      <c r="E275" s="39">
        <f>((0.05+0.1)*(3*2+1.1)+0.35*(2.4*2+1.1)+1.1*0.6)*2</f>
        <v>7.58</v>
      </c>
      <c r="F275" s="39">
        <v>545.2</v>
      </c>
      <c r="G275" s="28">
        <f t="shared" ref="G275:G278" si="22">ROUND(E275*F275,2)</f>
        <v>4132.62</v>
      </c>
      <c r="H275" s="41"/>
    </row>
    <row r="276" s="7" customFormat="1" ht="69" customHeight="1" spans="1:8">
      <c r="A276" s="36">
        <v>12</v>
      </c>
      <c r="B276" s="37" t="s">
        <v>325</v>
      </c>
      <c r="C276" s="58" t="s">
        <v>326</v>
      </c>
      <c r="D276" s="38" t="s">
        <v>31</v>
      </c>
      <c r="E276" s="39">
        <v>6</v>
      </c>
      <c r="F276" s="39">
        <v>5170</v>
      </c>
      <c r="G276" s="28">
        <f t="shared" si="22"/>
        <v>31020</v>
      </c>
      <c r="H276" s="41"/>
    </row>
    <row r="277" s="2" customFormat="1" ht="37" customHeight="1" spans="1:8">
      <c r="A277" s="36">
        <v>13</v>
      </c>
      <c r="B277" s="59" t="s">
        <v>327</v>
      </c>
      <c r="C277" s="59" t="s">
        <v>328</v>
      </c>
      <c r="D277" s="38" t="s">
        <v>15</v>
      </c>
      <c r="E277" s="39">
        <f>1.5*2.4*2</f>
        <v>7.2</v>
      </c>
      <c r="F277" s="39">
        <v>423</v>
      </c>
      <c r="G277" s="28">
        <f t="shared" si="22"/>
        <v>3045.6</v>
      </c>
      <c r="H277" s="41"/>
    </row>
    <row r="278" s="2" customFormat="1" ht="66" customHeight="1" spans="1:8">
      <c r="A278" s="36">
        <v>14</v>
      </c>
      <c r="B278" s="37" t="s">
        <v>152</v>
      </c>
      <c r="C278" s="58" t="s">
        <v>329</v>
      </c>
      <c r="D278" s="38" t="s">
        <v>154</v>
      </c>
      <c r="E278" s="39">
        <v>1</v>
      </c>
      <c r="F278" s="39">
        <v>2350</v>
      </c>
      <c r="G278" s="28">
        <f t="shared" si="22"/>
        <v>2350</v>
      </c>
      <c r="H278" s="41"/>
    </row>
    <row r="279" s="9" customFormat="1" ht="21" customHeight="1" spans="1:8">
      <c r="A279" s="29"/>
      <c r="B279" s="70"/>
      <c r="C279" s="70" t="s">
        <v>43</v>
      </c>
      <c r="D279" s="71"/>
      <c r="E279" s="72"/>
      <c r="F279" s="73"/>
      <c r="G279" s="34">
        <f>SUM(G10:G278)</f>
        <v>807436.33</v>
      </c>
      <c r="H279" s="35"/>
    </row>
    <row r="280" s="4" customFormat="1" spans="1:8">
      <c r="A280" s="29" t="s">
        <v>23</v>
      </c>
      <c r="B280" s="30" t="s">
        <v>45</v>
      </c>
      <c r="C280" s="30"/>
      <c r="D280" s="31"/>
      <c r="E280" s="32"/>
      <c r="F280" s="32"/>
      <c r="G280" s="34"/>
      <c r="H280" s="35"/>
    </row>
    <row r="281" s="4" customFormat="1" spans="1:8">
      <c r="A281" s="36"/>
      <c r="B281" s="37" t="s">
        <v>46</v>
      </c>
      <c r="C281" s="37"/>
      <c r="D281" s="38"/>
      <c r="E281" s="74"/>
      <c r="F281" s="75"/>
      <c r="G281" s="75"/>
      <c r="H281" s="76"/>
    </row>
    <row r="282" s="2" customFormat="1" ht="60" customHeight="1" spans="1:8">
      <c r="A282" s="36">
        <v>1</v>
      </c>
      <c r="B282" s="37" t="s">
        <v>330</v>
      </c>
      <c r="C282" s="37" t="s">
        <v>331</v>
      </c>
      <c r="D282" s="38" t="s">
        <v>15</v>
      </c>
      <c r="E282" s="74">
        <v>1000</v>
      </c>
      <c r="F282" s="75">
        <v>127</v>
      </c>
      <c r="G282" s="28">
        <f t="shared" ref="G282:G303" si="23">ROUND(E282*F282,2)</f>
        <v>127000</v>
      </c>
      <c r="H282" s="61"/>
    </row>
    <row r="283" s="2" customFormat="1" ht="33" customHeight="1" spans="1:8">
      <c r="A283" s="36">
        <v>2</v>
      </c>
      <c r="B283" s="37" t="s">
        <v>332</v>
      </c>
      <c r="C283" s="37" t="s">
        <v>333</v>
      </c>
      <c r="D283" s="38" t="s">
        <v>15</v>
      </c>
      <c r="E283" s="74">
        <v>1000</v>
      </c>
      <c r="F283" s="75">
        <v>85</v>
      </c>
      <c r="G283" s="28">
        <f t="shared" si="23"/>
        <v>85000</v>
      </c>
      <c r="H283" s="76"/>
    </row>
    <row r="284" s="3" customFormat="1" ht="36" customHeight="1" spans="1:8">
      <c r="A284" s="36">
        <v>3</v>
      </c>
      <c r="B284" s="37" t="s">
        <v>334</v>
      </c>
      <c r="C284" s="37" t="s">
        <v>335</v>
      </c>
      <c r="D284" s="38" t="s">
        <v>53</v>
      </c>
      <c r="E284" s="74">
        <v>1</v>
      </c>
      <c r="F284" s="75">
        <v>5170</v>
      </c>
      <c r="G284" s="28">
        <f t="shared" si="23"/>
        <v>5170</v>
      </c>
      <c r="H284" s="76"/>
    </row>
    <row r="285" s="2" customFormat="1" ht="48" spans="1:8">
      <c r="A285" s="36">
        <v>4</v>
      </c>
      <c r="B285" s="59" t="s">
        <v>336</v>
      </c>
      <c r="C285" s="37" t="s">
        <v>337</v>
      </c>
      <c r="D285" s="77" t="s">
        <v>53</v>
      </c>
      <c r="E285" s="74">
        <f>6+3</f>
        <v>9</v>
      </c>
      <c r="F285" s="75">
        <v>61.1</v>
      </c>
      <c r="G285" s="28">
        <f t="shared" si="23"/>
        <v>549.9</v>
      </c>
      <c r="H285" s="41"/>
    </row>
    <row r="286" s="2" customFormat="1" ht="48" spans="1:8">
      <c r="A286" s="36">
        <v>5</v>
      </c>
      <c r="B286" s="59" t="s">
        <v>338</v>
      </c>
      <c r="C286" s="37" t="s">
        <v>339</v>
      </c>
      <c r="D286" s="77" t="s">
        <v>53</v>
      </c>
      <c r="E286" s="74">
        <f>36-24</f>
        <v>12</v>
      </c>
      <c r="F286" s="75">
        <v>79.9</v>
      </c>
      <c r="G286" s="28">
        <f t="shared" si="23"/>
        <v>958.8</v>
      </c>
      <c r="H286" s="41"/>
    </row>
    <row r="287" s="2" customFormat="1" ht="54" customHeight="1" spans="1:8">
      <c r="A287" s="36">
        <v>6</v>
      </c>
      <c r="B287" s="59" t="s">
        <v>340</v>
      </c>
      <c r="C287" s="37" t="s">
        <v>341</v>
      </c>
      <c r="D287" s="77" t="s">
        <v>53</v>
      </c>
      <c r="E287" s="60">
        <v>15</v>
      </c>
      <c r="F287" s="75">
        <v>103.4</v>
      </c>
      <c r="G287" s="28">
        <f t="shared" si="23"/>
        <v>1551</v>
      </c>
      <c r="H287" s="41"/>
    </row>
    <row r="288" s="2" customFormat="1" ht="51" customHeight="1" spans="1:8">
      <c r="A288" s="36">
        <v>7</v>
      </c>
      <c r="B288" s="59" t="s">
        <v>342</v>
      </c>
      <c r="C288" s="37" t="s">
        <v>343</v>
      </c>
      <c r="D288" s="77" t="s">
        <v>53</v>
      </c>
      <c r="E288" s="77">
        <v>16</v>
      </c>
      <c r="F288" s="75">
        <v>82.25</v>
      </c>
      <c r="G288" s="28">
        <f t="shared" si="23"/>
        <v>1316</v>
      </c>
      <c r="H288" s="41"/>
    </row>
    <row r="289" s="2" customFormat="1" ht="51" customHeight="1" spans="1:8">
      <c r="A289" s="36">
        <v>8</v>
      </c>
      <c r="B289" s="59" t="s">
        <v>344</v>
      </c>
      <c r="C289" s="37" t="s">
        <v>345</v>
      </c>
      <c r="D289" s="77" t="s">
        <v>53</v>
      </c>
      <c r="E289" s="77">
        <v>17</v>
      </c>
      <c r="F289" s="75">
        <v>335</v>
      </c>
      <c r="G289" s="28">
        <f t="shared" si="23"/>
        <v>5695</v>
      </c>
      <c r="H289" s="41"/>
    </row>
    <row r="290" s="7" customFormat="1" ht="51" customHeight="1" spans="1:8">
      <c r="A290" s="36">
        <v>9</v>
      </c>
      <c r="B290" s="59" t="s">
        <v>346</v>
      </c>
      <c r="C290" s="37" t="s">
        <v>347</v>
      </c>
      <c r="D290" s="77" t="s">
        <v>53</v>
      </c>
      <c r="E290" s="77">
        <v>12</v>
      </c>
      <c r="F290" s="75">
        <v>215</v>
      </c>
      <c r="G290" s="28">
        <f t="shared" si="23"/>
        <v>2580</v>
      </c>
      <c r="H290" s="41"/>
    </row>
    <row r="291" s="7" customFormat="1" ht="51" customHeight="1" spans="1:8">
      <c r="A291" s="36">
        <v>10</v>
      </c>
      <c r="B291" s="59" t="s">
        <v>348</v>
      </c>
      <c r="C291" s="37" t="s">
        <v>345</v>
      </c>
      <c r="D291" s="77" t="s">
        <v>53</v>
      </c>
      <c r="E291" s="77">
        <v>4</v>
      </c>
      <c r="F291" s="75">
        <v>604</v>
      </c>
      <c r="G291" s="28">
        <f t="shared" si="23"/>
        <v>2416</v>
      </c>
      <c r="H291" s="41"/>
    </row>
    <row r="292" s="7" customFormat="1" ht="51" customHeight="1" spans="1:8">
      <c r="A292" s="36">
        <v>11</v>
      </c>
      <c r="B292" s="59" t="s">
        <v>349</v>
      </c>
      <c r="C292" s="37" t="s">
        <v>345</v>
      </c>
      <c r="D292" s="77" t="s">
        <v>53</v>
      </c>
      <c r="E292" s="77">
        <v>5</v>
      </c>
      <c r="F292" s="75">
        <v>1128</v>
      </c>
      <c r="G292" s="28">
        <f t="shared" si="23"/>
        <v>5640</v>
      </c>
      <c r="H292" s="41"/>
    </row>
    <row r="293" s="2" customFormat="1" ht="57" customHeight="1" spans="1:8">
      <c r="A293" s="36">
        <v>12</v>
      </c>
      <c r="B293" s="59" t="s">
        <v>350</v>
      </c>
      <c r="C293" s="37" t="s">
        <v>351</v>
      </c>
      <c r="D293" s="77" t="s">
        <v>53</v>
      </c>
      <c r="E293" s="74">
        <v>2</v>
      </c>
      <c r="F293" s="75">
        <v>54.52</v>
      </c>
      <c r="G293" s="28">
        <f t="shared" si="23"/>
        <v>109.04</v>
      </c>
      <c r="H293" s="61"/>
    </row>
    <row r="294" s="2" customFormat="1" ht="48" spans="1:8">
      <c r="A294" s="36">
        <v>13</v>
      </c>
      <c r="B294" s="59" t="s">
        <v>352</v>
      </c>
      <c r="C294" s="37" t="s">
        <v>353</v>
      </c>
      <c r="D294" s="77" t="s">
        <v>31</v>
      </c>
      <c r="E294" s="74">
        <f>113+2.1*5</f>
        <v>123.5</v>
      </c>
      <c r="F294" s="75">
        <v>20.68</v>
      </c>
      <c r="G294" s="28">
        <f t="shared" si="23"/>
        <v>2553.98</v>
      </c>
      <c r="H294" s="41"/>
    </row>
    <row r="295" s="2" customFormat="1" ht="32" customHeight="1" spans="1:8">
      <c r="A295" s="36">
        <v>14</v>
      </c>
      <c r="B295" s="59" t="s">
        <v>354</v>
      </c>
      <c r="C295" s="37" t="s">
        <v>355</v>
      </c>
      <c r="D295" s="77" t="s">
        <v>53</v>
      </c>
      <c r="E295" s="74">
        <v>3</v>
      </c>
      <c r="F295" s="75">
        <v>376</v>
      </c>
      <c r="G295" s="28">
        <f t="shared" si="23"/>
        <v>1128</v>
      </c>
      <c r="H295" s="61" t="s">
        <v>356</v>
      </c>
    </row>
    <row r="296" s="2" customFormat="1" ht="32" customHeight="1" spans="1:8">
      <c r="A296" s="36">
        <v>15</v>
      </c>
      <c r="B296" s="59" t="s">
        <v>357</v>
      </c>
      <c r="C296" s="37" t="s">
        <v>358</v>
      </c>
      <c r="D296" s="77" t="s">
        <v>53</v>
      </c>
      <c r="E296" s="74">
        <v>3</v>
      </c>
      <c r="F296" s="75">
        <v>357.2</v>
      </c>
      <c r="G296" s="28">
        <f t="shared" si="23"/>
        <v>1071.6</v>
      </c>
      <c r="H296" s="61" t="s">
        <v>356</v>
      </c>
    </row>
    <row r="297" s="2" customFormat="1" ht="32" customHeight="1" spans="1:8">
      <c r="A297" s="36">
        <v>16</v>
      </c>
      <c r="B297" s="59" t="s">
        <v>359</v>
      </c>
      <c r="C297" s="37" t="s">
        <v>360</v>
      </c>
      <c r="D297" s="77" t="s">
        <v>53</v>
      </c>
      <c r="E297" s="74">
        <v>1</v>
      </c>
      <c r="F297" s="75">
        <v>658</v>
      </c>
      <c r="G297" s="28">
        <f t="shared" si="23"/>
        <v>658</v>
      </c>
      <c r="H297" s="61" t="s">
        <v>356</v>
      </c>
    </row>
    <row r="298" s="2" customFormat="1" ht="32" customHeight="1" spans="1:8">
      <c r="A298" s="36">
        <v>17</v>
      </c>
      <c r="B298" s="59" t="s">
        <v>361</v>
      </c>
      <c r="C298" s="37" t="s">
        <v>362</v>
      </c>
      <c r="D298" s="77" t="s">
        <v>53</v>
      </c>
      <c r="E298" s="74">
        <v>1</v>
      </c>
      <c r="F298" s="75">
        <v>376</v>
      </c>
      <c r="G298" s="28">
        <f t="shared" si="23"/>
        <v>376</v>
      </c>
      <c r="H298" s="61" t="s">
        <v>356</v>
      </c>
    </row>
    <row r="299" s="2" customFormat="1" ht="32" customHeight="1" spans="1:8">
      <c r="A299" s="36">
        <v>18</v>
      </c>
      <c r="B299" s="59" t="s">
        <v>363</v>
      </c>
      <c r="C299" s="37" t="s">
        <v>364</v>
      </c>
      <c r="D299" s="77" t="s">
        <v>53</v>
      </c>
      <c r="E299" s="74">
        <v>5</v>
      </c>
      <c r="F299" s="75">
        <v>639.2</v>
      </c>
      <c r="G299" s="28">
        <f t="shared" si="23"/>
        <v>3196</v>
      </c>
      <c r="H299" s="61" t="s">
        <v>356</v>
      </c>
    </row>
    <row r="300" s="2" customFormat="1" ht="32" customHeight="1" spans="1:8">
      <c r="A300" s="36">
        <v>19</v>
      </c>
      <c r="B300" s="59" t="s">
        <v>365</v>
      </c>
      <c r="C300" s="37" t="s">
        <v>366</v>
      </c>
      <c r="D300" s="77" t="s">
        <v>53</v>
      </c>
      <c r="E300" s="74">
        <v>4</v>
      </c>
      <c r="F300" s="75">
        <v>1222</v>
      </c>
      <c r="G300" s="28">
        <f t="shared" si="23"/>
        <v>4888</v>
      </c>
      <c r="H300" s="61" t="s">
        <v>356</v>
      </c>
    </row>
    <row r="301" s="2" customFormat="1" ht="32" customHeight="1" spans="1:8">
      <c r="A301" s="36">
        <v>20</v>
      </c>
      <c r="B301" s="59" t="s">
        <v>367</v>
      </c>
      <c r="C301" s="37" t="s">
        <v>368</v>
      </c>
      <c r="D301" s="77" t="s">
        <v>53</v>
      </c>
      <c r="E301" s="74">
        <v>1</v>
      </c>
      <c r="F301" s="75">
        <v>1316</v>
      </c>
      <c r="G301" s="28">
        <f t="shared" si="23"/>
        <v>1316</v>
      </c>
      <c r="H301" s="61" t="s">
        <v>356</v>
      </c>
    </row>
    <row r="302" s="2" customFormat="1" ht="32" customHeight="1" spans="1:8">
      <c r="A302" s="36">
        <v>21</v>
      </c>
      <c r="B302" s="59" t="s">
        <v>369</v>
      </c>
      <c r="C302" s="37" t="s">
        <v>370</v>
      </c>
      <c r="D302" s="77" t="s">
        <v>53</v>
      </c>
      <c r="E302" s="74">
        <v>1</v>
      </c>
      <c r="F302" s="75">
        <v>752</v>
      </c>
      <c r="G302" s="28">
        <f t="shared" si="23"/>
        <v>752</v>
      </c>
      <c r="H302" s="61" t="s">
        <v>356</v>
      </c>
    </row>
    <row r="303" s="2" customFormat="1" ht="32" customHeight="1" spans="1:8">
      <c r="A303" s="36">
        <v>22</v>
      </c>
      <c r="B303" s="59" t="s">
        <v>371</v>
      </c>
      <c r="C303" s="37" t="s">
        <v>372</v>
      </c>
      <c r="D303" s="77" t="s">
        <v>149</v>
      </c>
      <c r="E303" s="74">
        <v>4</v>
      </c>
      <c r="F303" s="75">
        <v>51.7</v>
      </c>
      <c r="G303" s="28">
        <f t="shared" si="23"/>
        <v>206.8</v>
      </c>
      <c r="H303" s="61" t="s">
        <v>356</v>
      </c>
    </row>
    <row r="304" s="9" customFormat="1" ht="21" customHeight="1" spans="1:8">
      <c r="A304" s="29"/>
      <c r="B304" s="70"/>
      <c r="C304" s="70" t="s">
        <v>57</v>
      </c>
      <c r="D304" s="71"/>
      <c r="E304" s="72"/>
      <c r="F304" s="73"/>
      <c r="G304" s="34">
        <f>SUM(G282:G303)</f>
        <v>254132.12</v>
      </c>
      <c r="H304" s="35"/>
    </row>
    <row r="305" s="4" customFormat="1" spans="1:8">
      <c r="A305" s="29" t="s">
        <v>44</v>
      </c>
      <c r="B305" s="30" t="s">
        <v>373</v>
      </c>
      <c r="C305" s="30"/>
      <c r="D305" s="31"/>
      <c r="E305" s="32"/>
      <c r="F305" s="32"/>
      <c r="G305" s="34"/>
      <c r="H305" s="35"/>
    </row>
    <row r="306" s="2" customFormat="1" ht="33" customHeight="1" spans="1:8">
      <c r="A306" s="36">
        <v>1</v>
      </c>
      <c r="B306" s="59" t="s">
        <v>374</v>
      </c>
      <c r="C306" s="59" t="s">
        <v>375</v>
      </c>
      <c r="D306" s="77" t="s">
        <v>376</v>
      </c>
      <c r="E306" s="74">
        <f>139.95*6.4</f>
        <v>895.68</v>
      </c>
      <c r="F306" s="75">
        <v>20.29998</v>
      </c>
      <c r="G306" s="28">
        <f>ROUND(E306*F306,2)</f>
        <v>18182.29</v>
      </c>
      <c r="H306" s="41"/>
    </row>
    <row r="307" s="2" customFormat="1" ht="33" customHeight="1" spans="1:8">
      <c r="A307" s="36">
        <v>2</v>
      </c>
      <c r="B307" s="78" t="s">
        <v>377</v>
      </c>
      <c r="C307" s="59" t="s">
        <v>378</v>
      </c>
      <c r="D307" s="79" t="s">
        <v>34</v>
      </c>
      <c r="E307" s="74">
        <v>1000</v>
      </c>
      <c r="F307" s="75">
        <v>7.52</v>
      </c>
      <c r="G307" s="28">
        <f>ROUND(E307*F307,2)</f>
        <v>7520</v>
      </c>
      <c r="H307" s="41"/>
    </row>
    <row r="308" s="9" customFormat="1" ht="15" customHeight="1" spans="1:8">
      <c r="A308" s="29"/>
      <c r="B308" s="70"/>
      <c r="C308" s="70" t="s">
        <v>66</v>
      </c>
      <c r="D308" s="71"/>
      <c r="E308" s="72"/>
      <c r="F308" s="73"/>
      <c r="G308" s="34">
        <f>SUM(G306:G307)</f>
        <v>25702.29</v>
      </c>
      <c r="H308" s="35"/>
    </row>
    <row r="309" s="9" customFormat="1" ht="15" customHeight="1" spans="1:8">
      <c r="A309" s="29"/>
      <c r="B309" s="70"/>
      <c r="C309" s="70" t="s">
        <v>379</v>
      </c>
      <c r="D309" s="71"/>
      <c r="E309" s="72"/>
      <c r="F309" s="80"/>
      <c r="G309" s="34">
        <f>G279+G304+G308</f>
        <v>1087270.74</v>
      </c>
      <c r="H309" s="35"/>
    </row>
  </sheetData>
  <autoFilter xmlns:etc="http://www.wps.cn/officeDocument/2017/etCustomData" ref="A6:H309" etc:filterBottomFollowUsedRange="0">
    <extLst/>
  </autoFilter>
  <mergeCells count="11">
    <mergeCell ref="A1:H1"/>
    <mergeCell ref="B5:C5"/>
    <mergeCell ref="B33:C33"/>
    <mergeCell ref="A3:A4"/>
    <mergeCell ref="B3:B4"/>
    <mergeCell ref="C3:C4"/>
    <mergeCell ref="D3:D4"/>
    <mergeCell ref="E3:E4"/>
    <mergeCell ref="F3:F4"/>
    <mergeCell ref="G3:G4"/>
    <mergeCell ref="H3:H4"/>
  </mergeCells>
  <printOptions horizontalCentered="1"/>
  <pageMargins left="0.313888888888889" right="0.118055555555556" top="0.313888888888889" bottom="0.313888888888889" header="0.297916666666667" footer="0"/>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清单预算表</vt:lpstr>
      <vt:lpstr>品牌表</vt:lpstr>
      <vt:lpstr>清单预算表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蔡静文</cp:lastModifiedBy>
  <dcterms:created xsi:type="dcterms:W3CDTF">2022-06-11T02:22:00Z</dcterms:created>
  <dcterms:modified xsi:type="dcterms:W3CDTF">2026-06-10T09:44:29Z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E4D23A9162BD4768A12212B2390E0932_13</vt:lpwstr>
  </property>
  <property fmtid="{D5CDD505-2E9C-101B-9397-08002B2CF9AE}" pid="4" name="CalculationRule">
    <vt:i4>0</vt:i4>
  </property>
</Properties>
</file>